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harts/chart8.xml" ContentType="application/vnd.openxmlformats-officedocument.drawingml.chart+xml"/>
  <Override PartName="/xl/charts/chart9.xml" ContentType="application/vnd.openxmlformats-officedocument.drawingml.chart+xml"/>
  <Override PartName="/xl/charts/style6.xml" ContentType="application/vnd.ms-office.chartstyle+xml"/>
  <Override PartName="/xl/charts/colors6.xml" ContentType="application/vnd.ms-office.chartcolorstyle+xml"/>
  <Override PartName="/xl/charts/chart10.xml" ContentType="application/vnd.openxmlformats-officedocument.drawingml.chart+xml"/>
  <Override PartName="/xl/charts/style7.xml" ContentType="application/vnd.ms-office.chartstyle+xml"/>
  <Override PartName="/xl/charts/colors7.xml" ContentType="application/vnd.ms-office.chartcolorstyle+xml"/>
  <Override PartName="/xl/charts/chart11.xml" ContentType="application/vnd.openxmlformats-officedocument.drawingml.chart+xml"/>
  <Override PartName="/xl/charts/style8.xml" ContentType="application/vnd.ms-office.chartstyle+xml"/>
  <Override PartName="/xl/charts/colors8.xml" ContentType="application/vnd.ms-office.chartcolorstyle+xml"/>
  <Override PartName="/xl/charts/chart12.xml" ContentType="application/vnd.openxmlformats-officedocument.drawingml.chart+xml"/>
  <Override PartName="/xl/charts/style9.xml" ContentType="application/vnd.ms-office.chartstyle+xml"/>
  <Override PartName="/xl/charts/colors9.xml" ContentType="application/vnd.ms-office.chartcolorstyle+xml"/>
  <Override PartName="/xl/charts/chart13.xml" ContentType="application/vnd.openxmlformats-officedocument.drawingml.chart+xml"/>
  <Override PartName="/xl/charts/chart14.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4.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harts/chart15.xml" ContentType="application/vnd.openxmlformats-officedocument.drawingml.chart+xml"/>
  <Override PartName="/xl/charts/chart16.xml" ContentType="application/vnd.openxmlformats-officedocument.drawingml.chart+xml"/>
  <Override PartName="/xl/charts/style11.xml" ContentType="application/vnd.ms-office.chartstyle+xml"/>
  <Override PartName="/xl/charts/colors11.xml" ContentType="application/vnd.ms-office.chartcolorstyle+xml"/>
  <Override PartName="/xl/charts/chart17.xml" ContentType="application/vnd.openxmlformats-officedocument.drawingml.chart+xml"/>
  <Override PartName="/xl/charts/style12.xml" ContentType="application/vnd.ms-office.chartstyle+xml"/>
  <Override PartName="/xl/charts/colors12.xml" ContentType="application/vnd.ms-office.chartcolorstyle+xml"/>
  <Override PartName="/xl/charts/chart18.xml" ContentType="application/vnd.openxmlformats-officedocument.drawingml.chart+xml"/>
  <Override PartName="/xl/charts/style13.xml" ContentType="application/vnd.ms-office.chartstyle+xml"/>
  <Override PartName="/xl/charts/colors13.xml" ContentType="application/vnd.ms-office.chartcolorstyle+xml"/>
  <Override PartName="/xl/charts/chart19.xml" ContentType="application/vnd.openxmlformats-officedocument.drawingml.chart+xml"/>
  <Override PartName="/xl/charts/style14.xml" ContentType="application/vnd.ms-office.chartstyle+xml"/>
  <Override PartName="/xl/charts/colors14.xml" ContentType="application/vnd.ms-office.chartcolorstyle+xml"/>
  <Override PartName="/xl/charts/chart20.xml" ContentType="application/vnd.openxmlformats-officedocument.drawingml.chart+xml"/>
  <Override PartName="/xl/charts/chart21.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5.xml" ContentType="application/vnd.openxmlformats-officedocument.drawing+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harts/chart22.xml" ContentType="application/vnd.openxmlformats-officedocument.drawingml.chart+xml"/>
  <Override PartName="/xl/charts/chart23.xml" ContentType="application/vnd.openxmlformats-officedocument.drawingml.chart+xml"/>
  <Override PartName="/xl/charts/style16.xml" ContentType="application/vnd.ms-office.chartstyle+xml"/>
  <Override PartName="/xl/charts/colors16.xml" ContentType="application/vnd.ms-office.chartcolorstyle+xml"/>
  <Override PartName="/xl/charts/chart24.xml" ContentType="application/vnd.openxmlformats-officedocument.drawingml.chart+xml"/>
  <Override PartName="/xl/charts/style17.xml" ContentType="application/vnd.ms-office.chartstyle+xml"/>
  <Override PartName="/xl/charts/colors17.xml" ContentType="application/vnd.ms-office.chartcolorstyle+xml"/>
  <Override PartName="/xl/charts/chart25.xml" ContentType="application/vnd.openxmlformats-officedocument.drawingml.chart+xml"/>
  <Override PartName="/xl/charts/style18.xml" ContentType="application/vnd.ms-office.chartstyle+xml"/>
  <Override PartName="/xl/charts/colors18.xml" ContentType="application/vnd.ms-office.chartcolorstyle+xml"/>
  <Override PartName="/xl/charts/chart26.xml" ContentType="application/vnd.openxmlformats-officedocument.drawingml.chart+xml"/>
  <Override PartName="/xl/charts/style19.xml" ContentType="application/vnd.ms-office.chartstyle+xml"/>
  <Override PartName="/xl/charts/colors19.xml" ContentType="application/vnd.ms-office.chartcolorstyle+xml"/>
  <Override PartName="/xl/charts/chart27.xml" ContentType="application/vnd.openxmlformats-officedocument.drawingml.chart+xml"/>
  <Override PartName="/xl/charts/chart28.xml" ContentType="application/vnd.openxmlformats-officedocument.drawingml.chart+xml"/>
  <Override PartName="/xl/charts/style20.xml" ContentType="application/vnd.ms-office.chartstyle+xml"/>
  <Override PartName="/xl/charts/colors20.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DieseArbeitsmappe"/>
  <mc:AlternateContent xmlns:mc="http://schemas.openxmlformats.org/markup-compatibility/2006">
    <mc:Choice Requires="x15">
      <x15ac:absPath xmlns:x15ac="http://schemas.microsoft.com/office/spreadsheetml/2010/11/ac" url="C:\Users\dewatjan\Downloads\"/>
    </mc:Choice>
  </mc:AlternateContent>
  <xr:revisionPtr revIDLastSave="0" documentId="13_ncr:1_{4A2B784C-9ECB-4C21-8A9F-2118AC603FA2}" xr6:coauthVersionLast="47" xr6:coauthVersionMax="47" xr10:uidLastSave="{00000000-0000-0000-0000-000000000000}"/>
  <bookViews>
    <workbookView xWindow="-120" yWindow="-120" windowWidth="38640" windowHeight="21240" tabRatio="909" xr2:uid="{00000000-000D-0000-FFFF-FFFF00000000}"/>
  </bookViews>
  <sheets>
    <sheet name="Disclaimer" sheetId="16" r:id="rId1"/>
    <sheet name="_xltb_storage_" sheetId="20" state="veryHidden" r:id="rId2"/>
    <sheet name="Berechnung" sheetId="1" r:id="rId3"/>
    <sheet name="Beispiel 1" sheetId="21" r:id="rId4"/>
    <sheet name="Beispiel 2" sheetId="22" r:id="rId5"/>
    <sheet name="Beispiel 3" sheetId="23" r:id="rId6"/>
    <sheet name="D1 Ziegel" sheetId="3" r:id="rId7"/>
    <sheet name="D3 Beton" sheetId="9" state="hidden" r:id="rId8"/>
    <sheet name="D4 Sicherheiten" sheetId="10" state="hidden" r:id="rId9"/>
    <sheet name="L1 Auflager" sheetId="4" state="hidden" r:id="rId10"/>
    <sheet name="L2 Produktgruppen" sheetId="14" state="hidden" r:id="rId11"/>
    <sheet name="L3 Momente Wind" sheetId="18" state="hidden" r:id="rId12"/>
    <sheet name="L4 Dicke Beton" sheetId="13" state="hidden" r:id="rId13"/>
    <sheet name="L5 Überbindemaß" sheetId="17" state="hidden" r:id="rId14"/>
    <sheet name="L6 Feuerwiderstand" sheetId="19" state="hidden" r:id="rId15"/>
    <sheet name="Parameter 1" sheetId="5" state="hidden" r:id="rId16"/>
    <sheet name="Parameter 2 Ausgabe" sheetId="11" state="hidden" r:id="rId17"/>
    <sheet name="Namensliste" sheetId="6" state="hidden" r:id="rId18"/>
  </sheets>
  <definedNames>
    <definedName name="_xlnm.Print_Area" localSheetId="3">'Beispiel 1'!$K$18:$Q$267</definedName>
    <definedName name="_xlnm.Print_Area" localSheetId="4">'Beispiel 2'!$K$18:$Q$267</definedName>
    <definedName name="_xlnm.Print_Area" localSheetId="5">'Beispiel 3'!$K$18:$Q$267</definedName>
    <definedName name="_xlnm.Print_Area" localSheetId="2">Berechnung!$K$18:$Q$267</definedName>
    <definedName name="rD1.BrickList01">OFFSET(rD1.Knoten01,1,0,rD1.BrickNumber01,1)</definedName>
    <definedName name="rD1.BrickList02">OFFSET(rD1.Knoten02,1,0,rD1.BrickNumber02,1)</definedName>
    <definedName name="rD1.BrickList03">OFFSET(rD1.Knoten03,1,0,rD1.BrickNumber03,1)</definedName>
    <definedName name="rD1.BrickList04">OFFSET(rD1.Knoten04,1,0,rD1.BrickNumber04,1)</definedName>
    <definedName name="rD1.BrickList05">OFFSET(rD1.Knoten05,1,0,rD1.BrickNumber05,1)</definedName>
    <definedName name="rD1.BrickList06">OFFSET(rD1.Knoten06,1,0,rD1.BrickNumber06,1)</definedName>
    <definedName name="rD1.BrickNumber01">'D1 Ziegel'!$G$13</definedName>
    <definedName name="rD1.BrickNumber02">'D1 Ziegel'!$G$50</definedName>
    <definedName name="rD1.BrickNumber03">'D1 Ziegel'!$G$62</definedName>
    <definedName name="rD1.BrickNumber04">'D1 Ziegel'!$G$79</definedName>
    <definedName name="rD1.BrickNumber05">'D1 Ziegel'!$G$103</definedName>
    <definedName name="rD1.BrickNumber06">'D1 Ziegel'!$G$112</definedName>
    <definedName name="rD1.BrickProducts01">'D1 Ziegel'!$K$14:$K$46</definedName>
    <definedName name="rD1.BrickProducts02">'D1 Ziegel'!$K$51:$K$58</definedName>
    <definedName name="rD1.BrickProducts03">'D1 Ziegel'!$K$63:$K$76</definedName>
    <definedName name="rD1.BrickProducts04">'D1 Ziegel'!$K$80:$K$99</definedName>
    <definedName name="rD1.BrickProducts05">'D1 Ziegel'!$K$104:$K$110</definedName>
    <definedName name="rD1.BrickProducts06">'D1 Ziegel'!$K$113:$K$122</definedName>
    <definedName name="rD1.Knoten01">'D1 Ziegel'!$K$13</definedName>
    <definedName name="rD1.Knoten02">'D1 Ziegel'!$K$50</definedName>
    <definedName name="rD1.Knoten03">'D1 Ziegel'!$K$62</definedName>
    <definedName name="rD1.Knoten04">'D1 Ziegel'!$K$79</definedName>
    <definedName name="rD1.Knoten05">'D1 Ziegel'!$K$103</definedName>
    <definedName name="rD1.Knoten06">'D1 Ziegel'!$K$112</definedName>
    <definedName name="rD1.Products">'D1 Ziegel'!$K$11:$K$11</definedName>
    <definedName name="rD3.Concrete">'D3 Beton'!$K$12:$K$41</definedName>
    <definedName name="rD3.ConcreteList">OFFSET(rD3.Knoten,1,0,rD3.ConcreteNumber,1)</definedName>
    <definedName name="rD3.ConcreteNumber">'D3 Beton'!$K$9</definedName>
    <definedName name="rD3.Knoten">'D3 Beton'!$K$11</definedName>
    <definedName name="rD4.DesignSitList">'D4 Sicherheiten'!$K$14:$K$15</definedName>
    <definedName name="rD4.Knoten05">'D4 Sicherheiten'!$K$13</definedName>
    <definedName name="rD4.SafetyFactorDeadLoadList">'D4 Sicherheiten'!$L$19:$L$20</definedName>
    <definedName name="rF1.AufteilungMomenteWindSelection" localSheetId="3">'Beispiel 1'!$O$16</definedName>
    <definedName name="rF1.AufteilungMomenteWindSelection" localSheetId="4">'Beispiel 2'!$O$16</definedName>
    <definedName name="rF1.AufteilungMomenteWindSelection" localSheetId="5">'Beispiel 3'!$O$16</definedName>
    <definedName name="rF1.AufteilungMomenteWindSelection" localSheetId="2">Berechnung!$O$16</definedName>
    <definedName name="rF1.AxResistanceBottom" localSheetId="3">'Beispiel 1'!$M$262</definedName>
    <definedName name="rF1.AxResistanceBottom" localSheetId="4">'Beispiel 2'!$M$262</definedName>
    <definedName name="rF1.AxResistanceBottom" localSheetId="5">'Beispiel 3'!$M$262</definedName>
    <definedName name="rF1.AxResistanceBottom" localSheetId="2">Berechnung!$M$262</definedName>
    <definedName name="rF1.AxResistanceMiddle" localSheetId="3">'Beispiel 1'!$M$246</definedName>
    <definedName name="rF1.AxResistanceMiddle" localSheetId="4">'Beispiel 2'!$M$246</definedName>
    <definedName name="rF1.AxResistanceMiddle" localSheetId="5">'Beispiel 3'!$M$246</definedName>
    <definedName name="rF1.AxResistanceMiddle" localSheetId="2">Berechnung!$M$246</definedName>
    <definedName name="rF1.AxResistanceTop" localSheetId="3">'Beispiel 1'!$M$228</definedName>
    <definedName name="rF1.AxResistanceTop" localSheetId="4">'Beispiel 2'!$M$228</definedName>
    <definedName name="rF1.AxResistanceTop" localSheetId="5">'Beispiel 3'!$M$228</definedName>
    <definedName name="rF1.AxResistanceTop" localSheetId="2">Berechnung!$M$228</definedName>
    <definedName name="rF1.BearingDepthBottom" localSheetId="3">'Beispiel 1'!$M$45:$O$45</definedName>
    <definedName name="rF1.BearingDepthBottom" localSheetId="4">'Beispiel 2'!$M$45:$O$45</definedName>
    <definedName name="rF1.BearingDepthBottom" localSheetId="5">'Beispiel 3'!$M$45:$O$45</definedName>
    <definedName name="rF1.BearingDepthBottom" localSheetId="2">Berechnung!$M$45:$O$45</definedName>
    <definedName name="rF1.BearingDepthBottom02" localSheetId="3">'Beispiel 1'!$N$45</definedName>
    <definedName name="rF1.BearingDepthBottom02" localSheetId="4">'Beispiel 2'!$N$45</definedName>
    <definedName name="rF1.BearingDepthBottom02" localSheetId="5">'Beispiel 3'!$N$45</definedName>
    <definedName name="rF1.BearingDepthBottom02" localSheetId="2">Berechnung!$N$45</definedName>
    <definedName name="rF1.BearingDepthBottom03" localSheetId="3">'Beispiel 1'!$O$45</definedName>
    <definedName name="rF1.BearingDepthBottom03" localSheetId="4">'Beispiel 2'!$O$45</definedName>
    <definedName name="rF1.BearingDepthBottom03" localSheetId="5">'Beispiel 3'!$O$45</definedName>
    <definedName name="rF1.BearingDepthBottom03" localSheetId="2">Berechnung!$O$45</definedName>
    <definedName name="rF1.BearingDepthBottomRelated" localSheetId="3">'Beispiel 1'!$N$47</definedName>
    <definedName name="rF1.BearingDepthBottomRelated" localSheetId="4">'Beispiel 2'!$N$47</definedName>
    <definedName name="rF1.BearingDepthBottomRelated" localSheetId="5">'Beispiel 3'!$N$47</definedName>
    <definedName name="rF1.BearingDepthBottomRelated" localSheetId="2">Berechnung!$N$47</definedName>
    <definedName name="rF1.BearingDepthTop" localSheetId="3">'Beispiel 1'!$M$44:$O$44</definedName>
    <definedName name="rF1.BearingDepthTop" localSheetId="4">'Beispiel 2'!$M$44:$O$44</definedName>
    <definedName name="rF1.BearingDepthTop" localSheetId="5">'Beispiel 3'!$M$44:$O$44</definedName>
    <definedName name="rF1.BearingDepthTop" localSheetId="2">Berechnung!$M$44:$O$44</definedName>
    <definedName name="rF1.BearingDepthTop01" localSheetId="3">'Beispiel 1'!$M$44</definedName>
    <definedName name="rF1.BearingDepthTop01" localSheetId="4">'Beispiel 2'!$M$44</definedName>
    <definedName name="rF1.BearingDepthTop01" localSheetId="5">'Beispiel 3'!$M$44</definedName>
    <definedName name="rF1.BearingDepthTop01" localSheetId="2">Berechnung!$M$44</definedName>
    <definedName name="rF1.BearingDepthTop02" localSheetId="3">'Beispiel 1'!$N$44</definedName>
    <definedName name="rF1.BearingDepthTop02" localSheetId="4">'Beispiel 2'!$N$44</definedName>
    <definedName name="rF1.BearingDepthTop02" localSheetId="5">'Beispiel 3'!$N$44</definedName>
    <definedName name="rF1.BearingDepthTop02" localSheetId="2">Berechnung!$N$44</definedName>
    <definedName name="rF1.BearingDepthTopRelated" localSheetId="3">'Beispiel 1'!$N$46</definedName>
    <definedName name="rF1.BearingDepthTopRelated" localSheetId="4">'Beispiel 2'!$N$46</definedName>
    <definedName name="rF1.BearingDepthTopRelated" localSheetId="5">'Beispiel 3'!$N$46</definedName>
    <definedName name="rF1.BearingDepthTopRelated" localSheetId="2">Berechnung!$N$46</definedName>
    <definedName name="rF1.BendingMomentDecBottom" localSheetId="3">'Beispiel 1'!$M$210</definedName>
    <definedName name="rF1.BendingMomentDecBottom" localSheetId="4">'Beispiel 2'!$M$210</definedName>
    <definedName name="rF1.BendingMomentDecBottom" localSheetId="5">'Beispiel 3'!$M$210</definedName>
    <definedName name="rF1.BendingMomentDecBottom" localSheetId="2">Berechnung!$M$210</definedName>
    <definedName name="rF1.BendingMomentDecMiddle" localSheetId="3">'Beispiel 1'!$M$212</definedName>
    <definedName name="rF1.BendingMomentDecMiddle" localSheetId="4">'Beispiel 2'!$M$212</definedName>
    <definedName name="rF1.BendingMomentDecMiddle" localSheetId="5">'Beispiel 3'!$M$212</definedName>
    <definedName name="rF1.BendingMomentDecMiddle" localSheetId="2">Berechnung!$M$212</definedName>
    <definedName name="rF1.BendingMomentDecTop" localSheetId="3">'Beispiel 1'!$M$206</definedName>
    <definedName name="rF1.BendingMomentDecTop" localSheetId="4">'Beispiel 2'!$M$206</definedName>
    <definedName name="rF1.BendingMomentDecTop" localSheetId="5">'Beispiel 3'!$M$206</definedName>
    <definedName name="rF1.BendingMomentDecTop" localSheetId="2">Berechnung!$M$206</definedName>
    <definedName name="rF1.BrickHeight02" localSheetId="3">'Beispiel 1'!$N$148</definedName>
    <definedName name="rF1.BrickHeight02" localSheetId="4">'Beispiel 2'!$N$148</definedName>
    <definedName name="rF1.BrickHeight02" localSheetId="5">'Beispiel 3'!$N$148</definedName>
    <definedName name="rF1.BrickHeight02" localSheetId="2">Berechnung!$N$148</definedName>
    <definedName name="rF1.BrickHeightLenght" localSheetId="3">'Beispiel 1'!$N$150</definedName>
    <definedName name="rF1.BrickHeightLenght" localSheetId="4">'Beispiel 2'!$N$150</definedName>
    <definedName name="rF1.BrickHeightLenght" localSheetId="5">'Beispiel 3'!$N$150</definedName>
    <definedName name="rF1.BrickHeightLenght" localSheetId="2">Berechnung!$N$150</definedName>
    <definedName name="rF1.BrickLength02" localSheetId="3">'Beispiel 1'!$N$149</definedName>
    <definedName name="rF1.BrickLength02" localSheetId="4">'Beispiel 2'!$N$149</definedName>
    <definedName name="rF1.BrickLength02" localSheetId="5">'Beispiel 3'!$N$149</definedName>
    <definedName name="rF1.BrickLength02" localSheetId="2">Berechnung!$N$149</definedName>
    <definedName name="rF1.BrickList01" localSheetId="3">IF('Beispiel 1'!rF1.CheckConcreteWall,rL4.ConcWallThicknessList,IF('Beispiel 1'!rF1.CheckFoundation,rP2.OutputNoInput,IF('Beispiel 1'!rF1.MainGroupSelection01=1,rD1.BrickList01,IF('Beispiel 1'!rF1.MainGroupSelection01=2,rD1.BrickList02,IF('Beispiel 1'!rF1.MainGroupSelection01=3,rD1.BrickList03,IF('Beispiel 1'!rF1.MainGroupSelection01=4,rD1.BrickList04,IF('Beispiel 1'!rF1.MainGroupSelection01=5,rD1.BrickList05,rD1.BrickList06)))))))</definedName>
    <definedName name="rF1.BrickList01" localSheetId="4">IF('Beispiel 2'!rF1.CheckConcreteWall,rL4.ConcWallThicknessList,IF('Beispiel 2'!rF1.CheckFoundation,rP2.OutputNoInput,IF('Beispiel 2'!rF1.MainGroupSelection01=1,rD1.BrickList01,IF('Beispiel 2'!rF1.MainGroupSelection01=2,rD1.BrickList02,IF('Beispiel 2'!rF1.MainGroupSelection01=3,rD1.BrickList03,IF('Beispiel 2'!rF1.MainGroupSelection01=4,rD1.BrickList04,IF('Beispiel 2'!rF1.MainGroupSelection01=5,rD1.BrickList05,rD1.BrickList06)))))))</definedName>
    <definedName name="rF1.BrickList01" localSheetId="5">IF('Beispiel 3'!rF1.CheckConcreteWall,rL4.ConcWallThicknessList,IF('Beispiel 3'!rF1.CheckFoundation,rP2.OutputNoInput,IF('Beispiel 3'!rF1.MainGroupSelection01=1,rD1.BrickList01,IF('Beispiel 3'!rF1.MainGroupSelection01=2,rD1.BrickList02,IF('Beispiel 3'!rF1.MainGroupSelection01=3,rD1.BrickList03,IF('Beispiel 3'!rF1.MainGroupSelection01=4,rD1.BrickList04,IF('Beispiel 3'!rF1.MainGroupSelection01=5,rD1.BrickList05,rD1.BrickList06)))))))</definedName>
    <definedName name="rF1.BrickList01" localSheetId="2">IF(Berechnung!rF1.CheckConcreteWall,rL4.ConcWallThicknessList,IF(Berechnung!rF1.CheckFoundation,rP2.OutputNoInput,IF(Berechnung!rF1.MainGroupSelection01=1,rD1.BrickList01,IF(Berechnung!rF1.MainGroupSelection01=2,rD1.BrickList02,IF(Berechnung!rF1.MainGroupSelection01=3,rD1.BrickList03,IF(Berechnung!rF1.MainGroupSelection01=4,rD1.BrickList04,IF(Berechnung!rF1.MainGroupSelection01=5,rD1.BrickList05,rD1.BrickList06)))))))</definedName>
    <definedName name="rF1.BrickList02" localSheetId="3">IF('Beispiel 1'!rF1.MainGroupSelection02=1,rD1.BrickList01,IF('Beispiel 1'!rF1.MainGroupSelection02=2,rD1.BrickList02,IF('Beispiel 1'!rF1.MainGroupSelection02=3,rD1.BrickList03,IF('Beispiel 1'!rF1.MainGroupSelection02=4,rD1.BrickList04,IF('Beispiel 1'!rF1.MainGroupSelection02=5,rD1.BrickList05,rD1.BrickList06)))))</definedName>
    <definedName name="rF1.BrickList02" localSheetId="4">IF('Beispiel 2'!rF1.MainGroupSelection02=1,rD1.BrickList01,IF('Beispiel 2'!rF1.MainGroupSelection02=2,rD1.BrickList02,IF('Beispiel 2'!rF1.MainGroupSelection02=3,rD1.BrickList03,IF('Beispiel 2'!rF1.MainGroupSelection02=4,rD1.BrickList04,IF('Beispiel 2'!rF1.MainGroupSelection02=5,rD1.BrickList05,rD1.BrickList06)))))</definedName>
    <definedName name="rF1.BrickList02" localSheetId="5">IF('Beispiel 3'!rF1.MainGroupSelection02=1,rD1.BrickList01,IF('Beispiel 3'!rF1.MainGroupSelection02=2,rD1.BrickList02,IF('Beispiel 3'!rF1.MainGroupSelection02=3,rD1.BrickList03,IF('Beispiel 3'!rF1.MainGroupSelection02=4,rD1.BrickList04,IF('Beispiel 3'!rF1.MainGroupSelection02=5,rD1.BrickList05,rD1.BrickList06)))))</definedName>
    <definedName name="rF1.BrickList02" localSheetId="2">IF(Berechnung!rF1.MainGroupSelection02=1,rD1.BrickList01,IF(Berechnung!rF1.MainGroupSelection02=2,rD1.BrickList02,IF(Berechnung!rF1.MainGroupSelection02=3,rD1.BrickList03,IF(Berechnung!rF1.MainGroupSelection02=4,rD1.BrickList04,IF(Berechnung!rF1.MainGroupSelection02=5,rD1.BrickList05,rD1.BrickList06)))))</definedName>
    <definedName name="rF1.BrickList03" localSheetId="3">IF('Beispiel 1'!rF1.CheckWallNotExisting=1,rP2.OutputNoInput,IF('Beispiel 1'!rF1.MainGroupSelection03=1,rD1.BrickList01,IF('Beispiel 1'!rF1.MainGroupSelection03=2,rD1.BrickList02,IF('Beispiel 1'!rF1.MainGroupSelection03=3,rD1.BrickList03,IF('Beispiel 1'!rF1.MainGroupSelection03=4,rD1.BrickList04,IF('Beispiel 1'!rF1.MainGroupSelection03=5,rD1.BrickList05,rD1.BrickList06))))))</definedName>
    <definedName name="rF1.BrickList03" localSheetId="4">IF('Beispiel 2'!rF1.CheckWallNotExisting=1,rP2.OutputNoInput,IF('Beispiel 2'!rF1.MainGroupSelection03=1,rD1.BrickList01,IF('Beispiel 2'!rF1.MainGroupSelection03=2,rD1.BrickList02,IF('Beispiel 2'!rF1.MainGroupSelection03=3,rD1.BrickList03,IF('Beispiel 2'!rF1.MainGroupSelection03=4,rD1.BrickList04,IF('Beispiel 2'!rF1.MainGroupSelection03=5,rD1.BrickList05,rD1.BrickList06))))))</definedName>
    <definedName name="rF1.BrickList03" localSheetId="5">IF('Beispiel 3'!rF1.CheckWallNotExisting=1,rP2.OutputNoInput,IF('Beispiel 3'!rF1.MainGroupSelection03=1,rD1.BrickList01,IF('Beispiel 3'!rF1.MainGroupSelection03=2,rD1.BrickList02,IF('Beispiel 3'!rF1.MainGroupSelection03=3,rD1.BrickList03,IF('Beispiel 3'!rF1.MainGroupSelection03=4,rD1.BrickList04,IF('Beispiel 3'!rF1.MainGroupSelection03=5,rD1.BrickList05,rD1.BrickList06))))))</definedName>
    <definedName name="rF1.BrickList03" localSheetId="2">IF(Berechnung!rF1.CheckWallNotExisting=1,rP2.OutputNoInput,IF(Berechnung!rF1.MainGroupSelection03=1,rD1.BrickList01,IF(Berechnung!rF1.MainGroupSelection03=2,rD1.BrickList02,IF(Berechnung!rF1.MainGroupSelection03=3,rD1.BrickList03,IF(Berechnung!rF1.MainGroupSelection03=4,rD1.BrickList04,IF(Berechnung!rF1.MainGroupSelection03=5,rD1.BrickList05,rD1.BrickList06))))))</definedName>
    <definedName name="rF1.BrickListNumber" localSheetId="3">'Beispiel 1'!$M$2:$O$2</definedName>
    <definedName name="rF1.BrickListNumber" localSheetId="4">'Beispiel 2'!$M$2:$O$2</definedName>
    <definedName name="rF1.BrickListNumber" localSheetId="5">'Beispiel 3'!$M$2:$O$2</definedName>
    <definedName name="rF1.BrickListNumber" localSheetId="2">Berechnung!$M$2:$O$2</definedName>
    <definedName name="rF1.BrickListNumber01" localSheetId="3">'Beispiel 1'!$M$2</definedName>
    <definedName name="rF1.BrickListNumber01" localSheetId="4">'Beispiel 2'!$M$2</definedName>
    <definedName name="rF1.BrickListNumber01" localSheetId="5">'Beispiel 3'!$M$2</definedName>
    <definedName name="rF1.BrickListNumber01" localSheetId="2">Berechnung!$M$2</definedName>
    <definedName name="rF1.BrickListNumber02" localSheetId="3">'Beispiel 1'!$N$2</definedName>
    <definedName name="rF1.BrickListNumber02" localSheetId="4">'Beispiel 2'!$N$2</definedName>
    <definedName name="rF1.BrickListNumber02" localSheetId="5">'Beispiel 3'!$N$2</definedName>
    <definedName name="rF1.BrickListNumber02" localSheetId="2">Berechnung!$N$2</definedName>
    <definedName name="rF1.BrickListNumber03" localSheetId="3">'Beispiel 1'!$O$2</definedName>
    <definedName name="rF1.BrickListNumber03" localSheetId="4">'Beispiel 2'!$O$2</definedName>
    <definedName name="rF1.BrickListNumber03" localSheetId="5">'Beispiel 3'!$O$2</definedName>
    <definedName name="rF1.BrickListNumber03" localSheetId="2">Berechnung!$O$2</definedName>
    <definedName name="rF1.BrickProductSelection" localSheetId="3">'Beispiel 1'!$M$3:$O$3</definedName>
    <definedName name="rF1.BrickProductSelection" localSheetId="4">'Beispiel 2'!$M$3:$O$3</definedName>
    <definedName name="rF1.BrickProductSelection" localSheetId="5">'Beispiel 3'!$M$3:$O$3</definedName>
    <definedName name="rF1.BrickProductSelection" localSheetId="2">Berechnung!$M$3:$O$3</definedName>
    <definedName name="rF1.BrickProductSelection01" localSheetId="3">'Beispiel 1'!$M$3</definedName>
    <definedName name="rF1.BrickProductSelection01" localSheetId="4">'Beispiel 2'!$M$3</definedName>
    <definedName name="rF1.BrickProductSelection01" localSheetId="5">'Beispiel 3'!$M$3</definedName>
    <definedName name="rF1.BrickProductSelection01" localSheetId="2">Berechnung!$M$3</definedName>
    <definedName name="rF1.BrickProductSelection02" localSheetId="3">'Beispiel 1'!$N$3</definedName>
    <definedName name="rF1.BrickProductSelection02" localSheetId="4">'Beispiel 2'!$N$3</definedName>
    <definedName name="rF1.BrickProductSelection02" localSheetId="5">'Beispiel 3'!$N$3</definedName>
    <definedName name="rF1.BrickProductSelection02" localSheetId="2">Berechnung!$N$3</definedName>
    <definedName name="rF1.BrickProductSelection03" localSheetId="3">'Beispiel 1'!$O$3</definedName>
    <definedName name="rF1.BrickProductSelection03" localSheetId="4">'Beispiel 2'!$O$3</definedName>
    <definedName name="rF1.BrickProductSelection03" localSheetId="5">'Beispiel 3'!$O$3</definedName>
    <definedName name="rF1.BrickProductSelection03" localSheetId="2">Berechnung!$O$3</definedName>
    <definedName name="rF1.BrickStrenght" localSheetId="3">'Beispiel 1'!$M$134:$O$134</definedName>
    <definedName name="rF1.BrickStrenght" localSheetId="4">'Beispiel 2'!$M$134:$O$134</definedName>
    <definedName name="rF1.BrickStrenght" localSheetId="5">'Beispiel 3'!$M$134:$O$134</definedName>
    <definedName name="rF1.BrickStrenght" localSheetId="2">Berechnung!$M$134:$O$134</definedName>
    <definedName name="rF1.BrickStrenghtList01" localSheetId="3">IF(OR('Beispiel 1'!rF1.CheckConcreteWall=1,'Beispiel 1'!rF1.CheckFoundation=1),rP2.OutputNoInput,IF('Beispiel 1'!rF1.MainGroupSelection01=1,OFFSET([0]!rD1.Knoten01,MIN('Beispiel 1'!rF1.BrickProductSelection01,COUNTA('Beispiel 1'!rF1.BrickList01)),12,1,1),IF('Beispiel 1'!rF1.MainGroupSelection01=2,rL3.BrickStrenghtList01,IF('Beispiel 1'!rF1.MainGroupSelection01=3,rL3.BrickStrenghtList02,IF('Beispiel 1'!rF1.MainGroupSelection01=4,rL3.BrickStrenghtList03,IF('Beispiel 1'!rF1.MainGroupSelection01=5,rL3.BrickStrenghtList04,""))))))</definedName>
    <definedName name="rF1.BrickStrenghtList01" localSheetId="4">IF(OR('Beispiel 2'!rF1.CheckConcreteWall=1,'Beispiel 2'!rF1.CheckFoundation=1),rP2.OutputNoInput,IF('Beispiel 2'!rF1.MainGroupSelection01=1,OFFSET([0]!rD1.Knoten01,MIN('Beispiel 2'!rF1.BrickProductSelection01,COUNTA('Beispiel 2'!rF1.BrickList01)),12,1,1),IF('Beispiel 2'!rF1.MainGroupSelection01=2,rL3.BrickStrenghtList01,IF('Beispiel 2'!rF1.MainGroupSelection01=3,rL3.BrickStrenghtList02,IF('Beispiel 2'!rF1.MainGroupSelection01=4,rL3.BrickStrenghtList03,IF('Beispiel 2'!rF1.MainGroupSelection01=5,rL3.BrickStrenghtList04,""))))))</definedName>
    <definedName name="rF1.BrickStrenghtList01" localSheetId="5">IF(OR('Beispiel 3'!rF1.CheckConcreteWall=1,'Beispiel 3'!rF1.CheckFoundation=1),rP2.OutputNoInput,IF('Beispiel 3'!rF1.MainGroupSelection01=1,OFFSET([0]!rD1.Knoten01,MIN('Beispiel 3'!rF1.BrickProductSelection01,COUNTA('Beispiel 3'!rF1.BrickList01)),12,1,1),IF('Beispiel 3'!rF1.MainGroupSelection01=2,rL3.BrickStrenghtList01,IF('Beispiel 3'!rF1.MainGroupSelection01=3,rL3.BrickStrenghtList02,IF('Beispiel 3'!rF1.MainGroupSelection01=4,rL3.BrickStrenghtList03,IF('Beispiel 3'!rF1.MainGroupSelection01=5,rL3.BrickStrenghtList04,""))))))</definedName>
    <definedName name="rF1.BrickStrenghtList01" localSheetId="2">IF(OR(Berechnung!rF1.CheckConcreteWall=1,Berechnung!rF1.CheckFoundation=1),rP2.OutputNoInput,IF(Berechnung!rF1.MainGroupSelection01=1,OFFSET(rD1.Knoten01,MIN(Berechnung!rF1.BrickProductSelection01,COUNTA(Berechnung!rF1.BrickList01)),12,1,1),IF(Berechnung!rF1.MainGroupSelection01=2,rL3.BrickStrenghtList01,IF(Berechnung!rF1.MainGroupSelection01=3,rL3.BrickStrenghtList02,IF(Berechnung!rF1.MainGroupSelection01=4,rL3.BrickStrenghtList03,IF(Berechnung!rF1.MainGroupSelection01=5,rL3.BrickStrenghtList04,""))))))</definedName>
    <definedName name="rF1.BrickStrenghtList02" localSheetId="3">IF('Beispiel 1'!rF1.MainGroupSelection02=1,OFFSET([0]!rD1.Knoten01,MIN('Beispiel 1'!rF1.BrickProductSelection02,COUNTA('Beispiel 1'!rF1.BrickList02)),12,1,1),IF('Beispiel 1'!rF1.MainGroupSelection02=2,rL3.BrickStrenghtList01,IF('Beispiel 1'!rF1.MainGroupSelection02=3,rL3.BrickStrenghtList02,IF('Beispiel 1'!rF1.MainGroupSelection02=4,rL3.BrickStrenghtList03,rL3.BrickStrenghtList04))))</definedName>
    <definedName name="rF1.BrickStrenghtList02" localSheetId="4">IF('Beispiel 2'!rF1.MainGroupSelection02=1,OFFSET([0]!rD1.Knoten01,MIN('Beispiel 2'!rF1.BrickProductSelection02,COUNTA('Beispiel 2'!rF1.BrickList02)),12,1,1),IF('Beispiel 2'!rF1.MainGroupSelection02=2,rL3.BrickStrenghtList01,IF('Beispiel 2'!rF1.MainGroupSelection02=3,rL3.BrickStrenghtList02,IF('Beispiel 2'!rF1.MainGroupSelection02=4,rL3.BrickStrenghtList03,rL3.BrickStrenghtList04))))</definedName>
    <definedName name="rF1.BrickStrenghtList02" localSheetId="5">IF('Beispiel 3'!rF1.MainGroupSelection02=1,OFFSET([0]!rD1.Knoten01,MIN('Beispiel 3'!rF1.BrickProductSelection02,COUNTA('Beispiel 3'!rF1.BrickList02)),12,1,1),IF('Beispiel 3'!rF1.MainGroupSelection02=2,rL3.BrickStrenghtList01,IF('Beispiel 3'!rF1.MainGroupSelection02=3,rL3.BrickStrenghtList02,IF('Beispiel 3'!rF1.MainGroupSelection02=4,rL3.BrickStrenghtList03,rL3.BrickStrenghtList04))))</definedName>
    <definedName name="rF1.BrickStrenghtList02" localSheetId="2">IF(Berechnung!rF1.MainGroupSelection02=1,OFFSET(rD1.Knoten01,MIN(Berechnung!rF1.BrickProductSelection02,COUNTA(Berechnung!rF1.BrickList02)),12,1,1),IF(Berechnung!rF1.MainGroupSelection02=2,rL3.BrickStrenghtList01,IF(Berechnung!rF1.MainGroupSelection02=3,rL3.BrickStrenghtList02,IF(Berechnung!rF1.MainGroupSelection02=4,rL3.BrickStrenghtList03,rL3.BrickStrenghtList04))))</definedName>
    <definedName name="rF1.BrickStrenghtList03" localSheetId="3">IF('Beispiel 1'!rF1.CheckWallNotExisting=1,rP2.OutputNoInput,IF('Beispiel 1'!rF1.MainGroupSelection03=1,OFFSET([0]!rD1.Knoten01,MIN('Beispiel 1'!rF1.BrickProductSelection03,COUNTA('Beispiel 1'!rF1.BrickList03)),12,1,1),IF('Beispiel 1'!rF1.MainGroupSelection03=2,rL3.BrickStrenghtList01,IF('Beispiel 1'!rF1.MainGroupSelection03=3,rL3.BrickStrenghtList02,IF('Beispiel 1'!rF1.MainGroupSelection03=4,rL3.BrickStrenghtList03,IF('Beispiel 1'!rF1.MainGroupSelection03=5,rL3.BrickStrenghtList04,""))))))</definedName>
    <definedName name="rF1.BrickStrenghtList03" localSheetId="4">IF('Beispiel 2'!rF1.CheckWallNotExisting=1,rP2.OutputNoInput,IF('Beispiel 2'!rF1.MainGroupSelection03=1,OFFSET([0]!rD1.Knoten01,MIN('Beispiel 2'!rF1.BrickProductSelection03,COUNTA('Beispiel 2'!rF1.BrickList03)),12,1,1),IF('Beispiel 2'!rF1.MainGroupSelection03=2,rL3.BrickStrenghtList01,IF('Beispiel 2'!rF1.MainGroupSelection03=3,rL3.BrickStrenghtList02,IF('Beispiel 2'!rF1.MainGroupSelection03=4,rL3.BrickStrenghtList03,IF('Beispiel 2'!rF1.MainGroupSelection03=5,rL3.BrickStrenghtList04,""))))))</definedName>
    <definedName name="rF1.BrickStrenghtList03" localSheetId="5">IF('Beispiel 3'!rF1.CheckWallNotExisting=1,rP2.OutputNoInput,IF('Beispiel 3'!rF1.MainGroupSelection03=1,OFFSET([0]!rD1.Knoten01,MIN('Beispiel 3'!rF1.BrickProductSelection03,COUNTA('Beispiel 3'!rF1.BrickList03)),12,1,1),IF('Beispiel 3'!rF1.MainGroupSelection03=2,rL3.BrickStrenghtList01,IF('Beispiel 3'!rF1.MainGroupSelection03=3,rL3.BrickStrenghtList02,IF('Beispiel 3'!rF1.MainGroupSelection03=4,rL3.BrickStrenghtList03,IF('Beispiel 3'!rF1.MainGroupSelection03=5,rL3.BrickStrenghtList04,""))))))</definedName>
    <definedName name="rF1.BrickStrenghtList03" localSheetId="2">IF(Berechnung!rF1.CheckWallNotExisting=1,rP2.OutputNoInput,IF(Berechnung!rF1.MainGroupSelection03=1,OFFSET(rD1.Knoten01,MIN(Berechnung!rF1.BrickProductSelection03,COUNTA(Berechnung!rF1.BrickList03)),12,1,1),IF(Berechnung!rF1.MainGroupSelection03=2,rL3.BrickStrenghtList01,IF(Berechnung!rF1.MainGroupSelection03=3,rL3.BrickStrenghtList02,IF(Berechnung!rF1.MainGroupSelection03=4,rL3.BrickStrenghtList03,IF(Berechnung!rF1.MainGroupSelection03=5,rL3.BrickStrenghtList04,""))))))</definedName>
    <definedName name="rF1.BrickStrenghtSelection" localSheetId="3">'Beispiel 1'!$M$8:$O$8</definedName>
    <definedName name="rF1.BrickStrenghtSelection" localSheetId="4">'Beispiel 2'!$M$8:$O$8</definedName>
    <definedName name="rF1.BrickStrenghtSelection" localSheetId="5">'Beispiel 3'!$M$8:$O$8</definedName>
    <definedName name="rF1.BrickStrenghtSelection" localSheetId="2">Berechnung!$M$8:$O$8</definedName>
    <definedName name="rF1.BrickStrenghtSelection01" localSheetId="3">'Beispiel 1'!$M$8</definedName>
    <definedName name="rF1.BrickStrenghtSelection01" localSheetId="4">'Beispiel 2'!$M$8</definedName>
    <definedName name="rF1.BrickStrenghtSelection01" localSheetId="5">'Beispiel 3'!$M$8</definedName>
    <definedName name="rF1.BrickStrenghtSelection01" localSheetId="2">Berechnung!$M$8</definedName>
    <definedName name="rF1.BrickStrenghtSelection02" localSheetId="3">'Beispiel 1'!$N$8</definedName>
    <definedName name="rF1.BrickStrenghtSelection02" localSheetId="4">'Beispiel 2'!$N$8</definedName>
    <definedName name="rF1.BrickStrenghtSelection02" localSheetId="5">'Beispiel 3'!$N$8</definedName>
    <definedName name="rF1.BrickStrenghtSelection02" localSheetId="2">Berechnung!$N$8</definedName>
    <definedName name="rF1.BrickStrenghtSelection03" localSheetId="3">'Beispiel 1'!$O$8</definedName>
    <definedName name="rF1.BrickStrenghtSelection03" localSheetId="4">'Beispiel 2'!$O$8</definedName>
    <definedName name="rF1.BrickStrenghtSelection03" localSheetId="5">'Beispiel 3'!$O$8</definedName>
    <definedName name="rF1.BrickStrenghtSelection03" localSheetId="2">Berechnung!$O$8</definedName>
    <definedName name="rF1.BucklingCoeffAlpha03" localSheetId="3">'Beispiel 1'!$O$152</definedName>
    <definedName name="rF1.BucklingCoeffAlpha03" localSheetId="4">'Beispiel 2'!$O$152</definedName>
    <definedName name="rF1.BucklingCoeffAlpha03" localSheetId="5">'Beispiel 3'!$O$152</definedName>
    <definedName name="rF1.BucklingCoeffAlpha03" localSheetId="2">Berechnung!$O$152</definedName>
    <definedName name="rF1.BucklingCoeffAlpha04" localSheetId="3">'Beispiel 1'!$O$153</definedName>
    <definedName name="rF1.BucklingCoeffAlpha04" localSheetId="4">'Beispiel 2'!$O$153</definedName>
    <definedName name="rF1.BucklingCoeffAlpha04" localSheetId="5">'Beispiel 3'!$O$153</definedName>
    <definedName name="rF1.BucklingCoeffAlpha04" localSheetId="2">Berechnung!$O$153</definedName>
    <definedName name="rF1.BucklingInterpolX1" localSheetId="3">'Beispiel 1'!$E$151:$E$153</definedName>
    <definedName name="rF1.BucklingInterpolX1" localSheetId="4">'Beispiel 2'!$E$151:$E$153</definedName>
    <definedName name="rF1.BucklingInterpolX1" localSheetId="5">'Beispiel 3'!$E$151:$E$153</definedName>
    <definedName name="rF1.BucklingInterpolX1" localSheetId="2">Berechnung!$E$151:$E$153</definedName>
    <definedName name="rF1.BucklingInterpolX2" localSheetId="3">'Beispiel 1'!$F$151:$F$153</definedName>
    <definedName name="rF1.BucklingInterpolX2" localSheetId="4">'Beispiel 2'!$F$151:$F$153</definedName>
    <definedName name="rF1.BucklingInterpolX2" localSheetId="5">'Beispiel 3'!$F$151:$F$153</definedName>
    <definedName name="rF1.BucklingInterpolX2" localSheetId="2">Berechnung!$F$151:$F$153</definedName>
    <definedName name="rF1.BucklingInterpolY1" localSheetId="3">'Beispiel 1'!$G$151:$G$153</definedName>
    <definedName name="rF1.BucklingInterpolY1" localSheetId="4">'Beispiel 2'!$G$151:$G$153</definedName>
    <definedName name="rF1.BucklingInterpolY1" localSheetId="5">'Beispiel 3'!$G$151:$G$153</definedName>
    <definedName name="rF1.BucklingInterpolY1" localSheetId="2">Berechnung!$G$151:$G$153</definedName>
    <definedName name="rF1.BucklingInterpolY2" localSheetId="3">'Beispiel 1'!$H$151:$H$153</definedName>
    <definedName name="rF1.BucklingInterpolY2" localSheetId="4">'Beispiel 2'!$H$151:$H$153</definedName>
    <definedName name="rF1.BucklingInterpolY2" localSheetId="5">'Beispiel 3'!$H$151:$H$153</definedName>
    <definedName name="rF1.BucklingInterpolY2" localSheetId="2">Berechnung!$H$151:$H$153</definedName>
    <definedName name="rF1.CalculatedStiffnessBottom03" localSheetId="3">'Beispiel 1'!$G$169</definedName>
    <definedName name="rF1.CalculatedStiffnessBottom03" localSheetId="4">'Beispiel 2'!$G$169</definedName>
    <definedName name="rF1.CalculatedStiffnessBottom03" localSheetId="5">'Beispiel 3'!$G$169</definedName>
    <definedName name="rF1.CalculatedStiffnessBottom03" localSheetId="2">Berechnung!$G$169</definedName>
    <definedName name="rF1.CalculatedStiffnessTop01" localSheetId="3">'Beispiel 1'!$E$168</definedName>
    <definedName name="rF1.CalculatedStiffnessTop01" localSheetId="4">'Beispiel 2'!$E$168</definedName>
    <definedName name="rF1.CalculatedStiffnessTop01" localSheetId="5">'Beispiel 3'!$E$168</definedName>
    <definedName name="rF1.CalculatedStiffnessTop01" localSheetId="2">Berechnung!$E$168</definedName>
    <definedName name="rF1.CheckAxForceCalculation" localSheetId="3">'Beispiel 1'!$G$70</definedName>
    <definedName name="rF1.CheckAxForceCalculation" localSheetId="4">'Beispiel 2'!$G$70</definedName>
    <definedName name="rF1.CheckAxForceCalculation" localSheetId="5">'Beispiel 3'!$G$70</definedName>
    <definedName name="rF1.CheckAxForceCalculation" localSheetId="2">Berechnung!$G$70</definedName>
    <definedName name="rF1.CheckBasePlate" localSheetId="3">'Beispiel 1'!$E$49</definedName>
    <definedName name="rF1.CheckBasePlate" localSheetId="4">'Beispiel 2'!$E$49</definedName>
    <definedName name="rF1.CheckBasePlate" localSheetId="5">'Beispiel 3'!$E$49</definedName>
    <definedName name="rF1.CheckBasePlate" localSheetId="2">Berechnung!$E$49</definedName>
    <definedName name="rF1.CheckBendingMomentSlabBottom" localSheetId="3">'Beispiel 1'!$E$43</definedName>
    <definedName name="rF1.CheckBendingMomentSlabBottom" localSheetId="4">'Beispiel 2'!$E$43</definedName>
    <definedName name="rF1.CheckBendingMomentSlabBottom" localSheetId="5">'Beispiel 3'!$E$43</definedName>
    <definedName name="rF1.CheckBendingMomentSlabBottom" localSheetId="2">Berechnung!$E$43</definedName>
    <definedName name="rF1.CheckBendingMomentSlabTop" localSheetId="3">'Beispiel 1'!$E$42</definedName>
    <definedName name="rF1.CheckBendingMomentSlabTop" localSheetId="4">'Beispiel 2'!$E$42</definedName>
    <definedName name="rF1.CheckBendingMomentSlabTop" localSheetId="5">'Beispiel 3'!$E$42</definedName>
    <definedName name="rF1.CheckBendingMomentSlabTop" localSheetId="2">Berechnung!$E$42</definedName>
    <definedName name="rF1.CheckCantilever03" localSheetId="3">'Beispiel 1'!$H$45</definedName>
    <definedName name="rF1.CheckCantilever03" localSheetId="4">'Beispiel 2'!$H$45</definedName>
    <definedName name="rF1.CheckCantilever03" localSheetId="5">'Beispiel 3'!$H$45</definedName>
    <definedName name="rF1.CheckCantilever03" localSheetId="2">Berechnung!$H$45</definedName>
    <definedName name="rF1.CheckCantilever04" localSheetId="3">'Beispiel 1'!$H$44</definedName>
    <definedName name="rF1.CheckCantilever04" localSheetId="4">'Beispiel 2'!$H$44</definedName>
    <definedName name="rF1.CheckCantilever04" localSheetId="5">'Beispiel 3'!$H$44</definedName>
    <definedName name="rF1.CheckCantilever04" localSheetId="2">Berechnung!$H$44</definedName>
    <definedName name="rF1.CheckConcreteWall" localSheetId="3">'Beispiel 1'!$E$29</definedName>
    <definedName name="rF1.CheckConcreteWall" localSheetId="4">'Beispiel 2'!$E$29</definedName>
    <definedName name="rF1.CheckConcreteWall" localSheetId="5">'Beispiel 3'!$E$29</definedName>
    <definedName name="rF1.CheckConcreteWall" localSheetId="2">Berechnung!$E$29</definedName>
    <definedName name="rF1.CheckFireResColumn" localSheetId="3">'Beispiel 1'!$F$38</definedName>
    <definedName name="rF1.CheckFireResColumn" localSheetId="4">'Beispiel 2'!$F$38</definedName>
    <definedName name="rF1.CheckFireResColumn" localSheetId="5">'Beispiel 3'!$F$38</definedName>
    <definedName name="rF1.CheckFireResColumn" localSheetId="2">Berechnung!$F$38</definedName>
    <definedName name="rF1.CheckFireResManual02" localSheetId="3">'Beispiel 1'!$G$38</definedName>
    <definedName name="rF1.CheckFireResManual02" localSheetId="4">'Beispiel 2'!$G$38</definedName>
    <definedName name="rF1.CheckFireResManual02" localSheetId="5">'Beispiel 3'!$G$38</definedName>
    <definedName name="rF1.CheckFireResManual02" localSheetId="2">Berechnung!$G$38</definedName>
    <definedName name="rF1.CheckFoundation" localSheetId="3">'Beispiel 1'!$E$30</definedName>
    <definedName name="rF1.CheckFoundation" localSheetId="4">'Beispiel 2'!$E$30</definedName>
    <definedName name="rF1.CheckFoundation" localSheetId="5">'Beispiel 3'!$E$30</definedName>
    <definedName name="rF1.CheckFoundation" localSheetId="2">Berechnung!$E$30</definedName>
    <definedName name="rF1.CheckShowDetails" localSheetId="3">'Beispiel 1'!$G$129</definedName>
    <definedName name="rF1.CheckShowDetails" localSheetId="4">'Beispiel 2'!$G$129</definedName>
    <definedName name="rF1.CheckShowDetails" localSheetId="5">'Beispiel 3'!$G$129</definedName>
    <definedName name="rF1.CheckShowDetails" localSheetId="2">Berechnung!$G$129</definedName>
    <definedName name="rF1.CheckSlabExisting03" localSheetId="3">'Beispiel 1'!$G$49</definedName>
    <definedName name="rF1.CheckSlabExisting03" localSheetId="4">'Beispiel 2'!$G$49</definedName>
    <definedName name="rF1.CheckSlabExisting03" localSheetId="5">'Beispiel 3'!$G$49</definedName>
    <definedName name="rF1.CheckSlabExisting03" localSheetId="2">Berechnung!$G$49</definedName>
    <definedName name="rF1.CheckSlabExisting04" localSheetId="3">'Beispiel 1'!$H$49</definedName>
    <definedName name="rF1.CheckSlabExisting04" localSheetId="4">'Beispiel 2'!$H$49</definedName>
    <definedName name="rF1.CheckSlabExisting04" localSheetId="5">'Beispiel 3'!$H$49</definedName>
    <definedName name="rF1.CheckSlabExisting04" localSheetId="2">Berechnung!$H$49</definedName>
    <definedName name="rF1.CheckWallNotExisting" localSheetId="3">'Beispiel 1'!$G$29</definedName>
    <definedName name="rF1.CheckWallNotExisting" localSheetId="4">'Beispiel 2'!$G$29</definedName>
    <definedName name="rF1.CheckWallNotExisting" localSheetId="5">'Beispiel 3'!$G$29</definedName>
    <definedName name="rF1.CheckWallNotExisting" localSheetId="2">Berechnung!$G$29</definedName>
    <definedName name="rF1.CheckWoodenSlab01" localSheetId="3">'Beispiel 1'!$E$50</definedName>
    <definedName name="rF1.CheckWoodenSlab01" localSheetId="4">'Beispiel 2'!$E$50</definedName>
    <definedName name="rF1.CheckWoodenSlab01" localSheetId="5">'Beispiel 3'!$E$50</definedName>
    <definedName name="rF1.CheckWoodenSlab01" localSheetId="2">Berechnung!$E$50</definedName>
    <definedName name="rF1.CheckWoodenSlab02" localSheetId="3">'Beispiel 1'!$F$50</definedName>
    <definedName name="rF1.CheckWoodenSlab02" localSheetId="4">'Beispiel 2'!$F$50</definedName>
    <definedName name="rF1.CheckWoodenSlab02" localSheetId="5">'Beispiel 3'!$F$50</definedName>
    <definedName name="rF1.CheckWoodenSlab02" localSheetId="2">Berechnung!$F$50</definedName>
    <definedName name="rF1.CheckWoodenSlab03" localSheetId="3">'Beispiel 1'!$G$50</definedName>
    <definedName name="rF1.CheckWoodenSlab03" localSheetId="4">'Beispiel 2'!$G$50</definedName>
    <definedName name="rF1.CheckWoodenSlab03" localSheetId="5">'Beispiel 3'!$G$50</definedName>
    <definedName name="rF1.CheckWoodenSlab03" localSheetId="2">Berechnung!$G$50</definedName>
    <definedName name="rF1.CheckWoodenSlab04" localSheetId="3">'Beispiel 1'!$H$50</definedName>
    <definedName name="rF1.CheckWoodenSlab04" localSheetId="4">'Beispiel 2'!$H$50</definedName>
    <definedName name="rF1.CheckWoodenSlab04" localSheetId="5">'Beispiel 3'!$H$50</definedName>
    <definedName name="rF1.CheckWoodenSlab04" localSheetId="2">Berechnung!$H$50</definedName>
    <definedName name="rF1.CheckWoodenSlabCalc" localSheetId="3">'Beispiel 1'!$G$75</definedName>
    <definedName name="rF1.CheckWoodenSlabCalc" localSheetId="4">'Beispiel 2'!$G$75</definedName>
    <definedName name="rF1.CheckWoodenSlabCalc" localSheetId="5">'Beispiel 3'!$G$75</definedName>
    <definedName name="rF1.CheckWoodenSlabCalc" localSheetId="2">Berechnung!$G$75</definedName>
    <definedName name="rF1.ColumnPlacementFactor" localSheetId="3">'Beispiel 1'!$C:$C</definedName>
    <definedName name="rF1.ColumnPlacementFactor" localSheetId="4">'Beispiel 2'!$C:$C</definedName>
    <definedName name="rF1.ColumnPlacementFactor" localSheetId="5">'Beispiel 3'!$C:$C</definedName>
    <definedName name="rF1.ColumnPlacementFactor" localSheetId="2">Berechnung!$C:$C</definedName>
    <definedName name="rF1.ConcreteElasticity" localSheetId="3">'Beispiel 1'!$M$182:$P$182</definedName>
    <definedName name="rF1.ConcreteElasticity" localSheetId="4">'Beispiel 2'!$M$182:$P$182</definedName>
    <definedName name="rF1.ConcreteElasticity" localSheetId="5">'Beispiel 3'!$M$182:$P$182</definedName>
    <definedName name="rF1.ConcreteElasticity" localSheetId="2">Berechnung!$M$182:$P$182</definedName>
    <definedName name="rF1.ConcreteFillList01" localSheetId="3">IF('Beispiel 1'!rF1.CheckConcreteWall=1,rD3.ConcreteList,rP2.OutputNoInput)</definedName>
    <definedName name="rF1.ConcreteFillList01" localSheetId="4">IF('Beispiel 2'!rF1.CheckConcreteWall=1,rD3.ConcreteList,rP2.OutputNoInput)</definedName>
    <definedName name="rF1.ConcreteFillList01" localSheetId="5">IF('Beispiel 3'!rF1.CheckConcreteWall=1,rD3.ConcreteList,rP2.OutputNoInput)</definedName>
    <definedName name="rF1.ConcreteFillList01" localSheetId="2">IF(Berechnung!rF1.CheckConcreteWall=1,rD3.ConcreteList,rP2.OutputNoInput)</definedName>
    <definedName name="rF1.ConcreteFillSelection" localSheetId="3">'Beispiel 1'!$M$4:$O$4</definedName>
    <definedName name="rF1.ConcreteFillSelection" localSheetId="4">'Beispiel 2'!$M$4:$O$4</definedName>
    <definedName name="rF1.ConcreteFillSelection" localSheetId="5">'Beispiel 3'!$M$4:$O$4</definedName>
    <definedName name="rF1.ConcreteFillSelection" localSheetId="2">Berechnung!$M$4:$O$4</definedName>
    <definedName name="rF1.ConcreteFillSelection01" localSheetId="3">'Beispiel 1'!$M$4</definedName>
    <definedName name="rF1.ConcreteFillSelection01" localSheetId="4">'Beispiel 2'!$M$4</definedName>
    <definedName name="rF1.ConcreteFillSelection01" localSheetId="5">'Beispiel 3'!$M$4</definedName>
    <definedName name="rF1.ConcreteFillSelection01" localSheetId="2">Berechnung!$M$4</definedName>
    <definedName name="rF1.ConcreteFillSelection02" localSheetId="3">'Beispiel 1'!$N$4</definedName>
    <definedName name="rF1.ConcreteFillSelection02" localSheetId="4">'Beispiel 2'!$N$4</definedName>
    <definedName name="rF1.ConcreteFillSelection02" localSheetId="5">'Beispiel 3'!$N$4</definedName>
    <definedName name="rF1.ConcreteFillSelection02" localSheetId="2">Berechnung!$N$4</definedName>
    <definedName name="rF1.ConcreteFillSelection03" localSheetId="3">'Beispiel 1'!$O$4</definedName>
    <definedName name="rF1.ConcreteFillSelection03" localSheetId="4">'Beispiel 2'!$O$4</definedName>
    <definedName name="rF1.ConcreteFillSelection03" localSheetId="5">'Beispiel 3'!$O$4</definedName>
    <definedName name="rF1.ConcreteFillSelection03" localSheetId="2">Berechnung!$O$4</definedName>
    <definedName name="rF1.ConcreteSelection01" localSheetId="3">'Beispiel 1'!$M$12</definedName>
    <definedName name="rF1.ConcreteSelection01" localSheetId="4">'Beispiel 2'!$M$12</definedName>
    <definedName name="rF1.ConcreteSelection01" localSheetId="5">'Beispiel 3'!$M$12</definedName>
    <definedName name="rF1.ConcreteSelection01" localSheetId="2">Berechnung!$M$12</definedName>
    <definedName name="rF1.ConcreteSelection02" localSheetId="3">'Beispiel 1'!$N$12</definedName>
    <definedName name="rF1.ConcreteSelection02" localSheetId="4">'Beispiel 2'!$N$12</definedName>
    <definedName name="rF1.ConcreteSelection02" localSheetId="5">'Beispiel 3'!$N$12</definedName>
    <definedName name="rF1.ConcreteSelection02" localSheetId="2">Berechnung!$N$12</definedName>
    <definedName name="rF1.ConcreteSelection03" localSheetId="3">'Beispiel 1'!$O$12</definedName>
    <definedName name="rF1.ConcreteSelection03" localSheetId="4">'Beispiel 2'!$O$12</definedName>
    <definedName name="rF1.ConcreteSelection03" localSheetId="5">'Beispiel 3'!$O$12</definedName>
    <definedName name="rF1.ConcreteSelection03" localSheetId="2">Berechnung!$O$12</definedName>
    <definedName name="rF1.ConcreteSelection04" localSheetId="3">'Beispiel 1'!$P$12</definedName>
    <definedName name="rF1.ConcreteSelection04" localSheetId="4">'Beispiel 2'!$P$12</definedName>
    <definedName name="rF1.ConcreteSelection04" localSheetId="5">'Beispiel 3'!$P$12</definedName>
    <definedName name="rF1.ConcreteSelection04" localSheetId="2">Berechnung!$P$12</definedName>
    <definedName name="rF1.ConcreteSlabList01" localSheetId="3">IF(OR('Beispiel 1'!rF1.CheckBasePlate,'Beispiel 1'!rF1.CheckWoodenSlab01),rP2.OutputNoInput,rD3.ConcreteList)</definedName>
    <definedName name="rF1.ConcreteSlabList01" localSheetId="4">IF(OR('Beispiel 2'!rF1.CheckBasePlate,'Beispiel 2'!rF1.CheckWoodenSlab01),rP2.OutputNoInput,rD3.ConcreteList)</definedName>
    <definedName name="rF1.ConcreteSlabList01" localSheetId="5">IF(OR('Beispiel 3'!rF1.CheckBasePlate,'Beispiel 3'!rF1.CheckWoodenSlab01),rP2.OutputNoInput,rD3.ConcreteList)</definedName>
    <definedName name="rF1.ConcreteSlabList01" localSheetId="2">IF(OR(Berechnung!rF1.CheckBasePlate,Berechnung!rF1.CheckWoodenSlab01),rP2.OutputNoInput,rD3.ConcreteList)</definedName>
    <definedName name="rF1.ConcreteSlabList02" localSheetId="3">IF('Beispiel 1'!rF1.CheckWoodenSlab02,rP2.OutputNoInput,rD3.ConcreteList)</definedName>
    <definedName name="rF1.ConcreteSlabList02" localSheetId="4">IF('Beispiel 2'!rF1.CheckWoodenSlab02,rP2.OutputNoInput,rD3.ConcreteList)</definedName>
    <definedName name="rF1.ConcreteSlabList02" localSheetId="5">IF('Beispiel 3'!rF1.CheckWoodenSlab02,rP2.OutputNoInput,rD3.ConcreteList)</definedName>
    <definedName name="rF1.ConcreteSlabList02" localSheetId="2">IF(Berechnung!rF1.CheckWoodenSlab02,rP2.OutputNoInput,rD3.ConcreteList)</definedName>
    <definedName name="rF1.ConcreteSlabList03" localSheetId="3">IF(OR('Beispiel 1'!rF1.CheckBasePlate,'Beispiel 1'!rF1.CheckSlabExisting03=0,'Beispiel 1'!rF1.CheckWoodenSlab03),rP2.OutputNoInput,rD3.ConcreteList)</definedName>
    <definedName name="rF1.ConcreteSlabList03" localSheetId="4">IF(OR('Beispiel 2'!rF1.CheckBasePlate,'Beispiel 2'!rF1.CheckSlabExisting03=0,'Beispiel 2'!rF1.CheckWoodenSlab03),rP2.OutputNoInput,rD3.ConcreteList)</definedName>
    <definedName name="rF1.ConcreteSlabList03" localSheetId="5">IF(OR('Beispiel 3'!rF1.CheckBasePlate,'Beispiel 3'!rF1.CheckSlabExisting03=0,'Beispiel 3'!rF1.CheckWoodenSlab03),rP2.OutputNoInput,rD3.ConcreteList)</definedName>
    <definedName name="rF1.ConcreteSlabList03" localSheetId="2">IF(OR(Berechnung!rF1.CheckBasePlate,Berechnung!rF1.CheckSlabExisting03=0,Berechnung!rF1.CheckWoodenSlab03),rP2.OutputNoInput,rD3.ConcreteList)</definedName>
    <definedName name="rF1.ConcreteSlabList04" localSheetId="3">IF(OR('Beispiel 1'!rF1.CheckSlabExisting04=0,'Beispiel 1'!rF1.CheckWoodenSlab04=1),rP2.OutputNoInput,rD3.ConcreteList)</definedName>
    <definedName name="rF1.ConcreteSlabList04" localSheetId="4">IF(OR('Beispiel 2'!rF1.CheckSlabExisting04=0,'Beispiel 2'!rF1.CheckWoodenSlab04=1),rP2.OutputNoInput,rD3.ConcreteList)</definedName>
    <definedName name="rF1.ConcreteSlabList04" localSheetId="5">IF(OR('Beispiel 3'!rF1.CheckSlabExisting04=0,'Beispiel 3'!rF1.CheckWoodenSlab04=1),rP2.OutputNoInput,rD3.ConcreteList)</definedName>
    <definedName name="rF1.ConcreteSlabList04" localSheetId="2">IF(OR(Berechnung!rF1.CheckSlabExisting04=0,Berechnung!rF1.CheckWoodenSlab04=1),rP2.OutputNoInput,rD3.ConcreteList)</definedName>
    <definedName name="rF1.ConcreteTypeSelection" localSheetId="3">'Beispiel 1'!$M$12:$P$12</definedName>
    <definedName name="rF1.ConcreteTypeSelection" localSheetId="4">'Beispiel 2'!$M$12:$P$12</definedName>
    <definedName name="rF1.ConcreteTypeSelection" localSheetId="5">'Beispiel 3'!$M$12:$P$12</definedName>
    <definedName name="rF1.ConcreteTypeSelection" localSheetId="2">Berechnung!$M$12:$P$12</definedName>
    <definedName name="rF1.DeadLoadDesign" localSheetId="3">'Beispiel 1'!$M$58:$P$58</definedName>
    <definedName name="rF1.DeadLoadDesign" localSheetId="4">'Beispiel 2'!$M$58:$P$58</definedName>
    <definedName name="rF1.DeadLoadDesign" localSheetId="5">'Beispiel 3'!$M$58:$P$58</definedName>
    <definedName name="rF1.DeadLoadDesign" localSheetId="2">Berechnung!$M$58:$P$58</definedName>
    <definedName name="rF1.DesignLineDeadLoad" localSheetId="3">'Beispiel 1'!$M$62:$P$62</definedName>
    <definedName name="rF1.DesignLineDeadLoad" localSheetId="4">'Beispiel 2'!$M$62:$P$62</definedName>
    <definedName name="rF1.DesignLineDeadLoad" localSheetId="5">'Beispiel 3'!$M$62:$P$62</definedName>
    <definedName name="rF1.DesignLineDeadLoad" localSheetId="2">Berechnung!$M$62:$P$62</definedName>
    <definedName name="rF1.DesignLineLiveLoad" localSheetId="3">'Beispiel 1'!$M$63:$P$63</definedName>
    <definedName name="rF1.DesignLineLiveLoad" localSheetId="4">'Beispiel 2'!$M$63:$P$63</definedName>
    <definedName name="rF1.DesignLineLiveLoad" localSheetId="5">'Beispiel 3'!$M$63:$P$63</definedName>
    <definedName name="rF1.DesignLineLiveLoad" localSheetId="2">Berechnung!$M$63:$P$63</definedName>
    <definedName name="rF1.DesignSitSelection" localSheetId="3">'Beispiel 1'!$N$13</definedName>
    <definedName name="rF1.DesignSitSelection" localSheetId="4">'Beispiel 2'!$N$13</definedName>
    <definedName name="rF1.DesignSitSelection" localSheetId="5">'Beispiel 3'!$N$13</definedName>
    <definedName name="rF1.DesignSitSelection" localSheetId="2">Berechnung!$N$13</definedName>
    <definedName name="rF1.DesignTotalLineLoad" localSheetId="3">'Beispiel 1'!$M$194:$P$194</definedName>
    <definedName name="rF1.DesignTotalLineLoad" localSheetId="4">'Beispiel 2'!$M$194:$P$194</definedName>
    <definedName name="rF1.DesignTotalLineLoad" localSheetId="5">'Beispiel 3'!$M$194:$P$194</definedName>
    <definedName name="rF1.DesignTotalLineLoad" localSheetId="2">Berechnung!$M$194:$P$194</definedName>
    <definedName name="rF1.DistanceBottom" localSheetId="3">'Beispiel 1'!$M$156:$O$156</definedName>
    <definedName name="rF1.DistanceBottom" localSheetId="4">'Beispiel 2'!$M$156:$O$156</definedName>
    <definedName name="rF1.DistanceBottom" localSheetId="5">'Beispiel 3'!$M$156:$O$156</definedName>
    <definedName name="rF1.DistanceBottom" localSheetId="2">Berechnung!$M$156:$O$156</definedName>
    <definedName name="rF1.DistanceBottom02" localSheetId="3">'Beispiel 1'!$N$156</definedName>
    <definedName name="rF1.DistanceBottom02" localSheetId="4">'Beispiel 2'!$N$156</definedName>
    <definedName name="rF1.DistanceBottom02" localSheetId="5">'Beispiel 3'!$N$156</definedName>
    <definedName name="rF1.DistanceBottom02" localSheetId="2">Berechnung!$N$156</definedName>
    <definedName name="rF1.DistanceTop" localSheetId="3">'Beispiel 1'!$M$155:$O$155</definedName>
    <definedName name="rF1.DistanceTop" localSheetId="4">'Beispiel 2'!$M$155:$O$155</definedName>
    <definedName name="rF1.DistanceTop" localSheetId="5">'Beispiel 3'!$M$155:$O$155</definedName>
    <definedName name="rF1.DistanceTop" localSheetId="2">Berechnung!$M$155:$O$155</definedName>
    <definedName name="rF1.DistanceTop02" localSheetId="3">'Beispiel 1'!$N$155</definedName>
    <definedName name="rF1.DistanceTop02" localSheetId="4">'Beispiel 2'!$N$155</definedName>
    <definedName name="rF1.DistanceTop02" localSheetId="5">'Beispiel 3'!$N$155</definedName>
    <definedName name="rF1.DistanceTop02" localSheetId="2">Berechnung!$N$155</definedName>
    <definedName name="rF1.EccentricityBottomAC5" localSheetId="3">'Beispiel 1'!$G$259</definedName>
    <definedName name="rF1.EccentricityBottomAC5" localSheetId="4">'Beispiel 2'!$G$259</definedName>
    <definedName name="rF1.EccentricityBottomAC5" localSheetId="5">'Beispiel 3'!$G$259</definedName>
    <definedName name="rF1.EccentricityBottomAC5" localSheetId="2">Berechnung!$G$259</definedName>
    <definedName name="rF1.EccentricityBottomReg" localSheetId="3">'Beispiel 1'!$F$259</definedName>
    <definedName name="rF1.EccentricityBottomReg" localSheetId="4">'Beispiel 2'!$F$259</definedName>
    <definedName name="rF1.EccentricityBottomReg" localSheetId="5">'Beispiel 3'!$F$259</definedName>
    <definedName name="rF1.EccentricityBottomReg" localSheetId="2">Berechnung!$F$259</definedName>
    <definedName name="rF1.EccentricityCreepMiddle" localSheetId="3">'Beispiel 1'!$M$242</definedName>
    <definedName name="rF1.EccentricityCreepMiddle" localSheetId="4">'Beispiel 2'!$M$242</definedName>
    <definedName name="rF1.EccentricityCreepMiddle" localSheetId="5">'Beispiel 3'!$M$242</definedName>
    <definedName name="rF1.EccentricityCreepMiddle" localSheetId="2">Berechnung!$M$242</definedName>
    <definedName name="rF1.EccentricityFactor" localSheetId="3">'Beispiel 1'!$G$150</definedName>
    <definedName name="rF1.EccentricityFactor" localSheetId="4">'Beispiel 2'!$G$150</definedName>
    <definedName name="rF1.EccentricityFactor" localSheetId="5">'Beispiel 3'!$G$150</definedName>
    <definedName name="rF1.EccentricityFactor" localSheetId="2">Berechnung!$G$150</definedName>
    <definedName name="rF1.EccentricityGeoBottom" localSheetId="3">'Beispiel 1'!$M$257</definedName>
    <definedName name="rF1.EccentricityGeoBottom" localSheetId="4">'Beispiel 2'!$M$257</definedName>
    <definedName name="rF1.EccentricityGeoBottom" localSheetId="5">'Beispiel 3'!$M$257</definedName>
    <definedName name="rF1.EccentricityGeoBottom" localSheetId="2">Berechnung!$M$257</definedName>
    <definedName name="rF1.EccentricityGeoTop" localSheetId="3">'Beispiel 1'!$M$223</definedName>
    <definedName name="rF1.EccentricityGeoTop" localSheetId="4">'Beispiel 2'!$M$223</definedName>
    <definedName name="rF1.EccentricityGeoTop" localSheetId="5">'Beispiel 3'!$M$223</definedName>
    <definedName name="rF1.EccentricityGeoTop" localSheetId="2">Berechnung!$M$223</definedName>
    <definedName name="rF1.EccentricityInitialBottom" localSheetId="3">'Beispiel 1'!$M$258</definedName>
    <definedName name="rF1.EccentricityInitialBottom" localSheetId="4">'Beispiel 2'!$M$258</definedName>
    <definedName name="rF1.EccentricityInitialBottom" localSheetId="5">'Beispiel 3'!$M$258</definedName>
    <definedName name="rF1.EccentricityInitialBottom" localSheetId="2">Berechnung!$M$258</definedName>
    <definedName name="rF1.EccentricityInitialMiddle" localSheetId="3">'Beispiel 1'!$M$240</definedName>
    <definedName name="rF1.EccentricityInitialMiddle" localSheetId="4">'Beispiel 2'!$M$240</definedName>
    <definedName name="rF1.EccentricityInitialMiddle" localSheetId="5">'Beispiel 3'!$M$240</definedName>
    <definedName name="rF1.EccentricityInitialMiddle" localSheetId="2">Berechnung!$M$240</definedName>
    <definedName name="rF1.EccentricityInitialTop" localSheetId="3">'Beispiel 1'!$M$224</definedName>
    <definedName name="rF1.EccentricityInitialTop" localSheetId="4">'Beispiel 2'!$M$224</definedName>
    <definedName name="rF1.EccentricityInitialTop" localSheetId="5">'Beispiel 3'!$M$224</definedName>
    <definedName name="rF1.EccentricityInitialTop" localSheetId="2">Berechnung!$M$224</definedName>
    <definedName name="rF1.EccentricityLoadsMiddle" localSheetId="3">'Beispiel 1'!$M$241</definedName>
    <definedName name="rF1.EccentricityLoadsMiddle" localSheetId="4">'Beispiel 2'!$M$241</definedName>
    <definedName name="rF1.EccentricityLoadsMiddle" localSheetId="5">'Beispiel 3'!$M$241</definedName>
    <definedName name="rF1.EccentricityLoadsMiddle" localSheetId="2">Berechnung!$M$241</definedName>
    <definedName name="rF1.EccentricityShiftC5Bottom" localSheetId="3">'Beispiel 1'!$M$260</definedName>
    <definedName name="rF1.EccentricityShiftC5Bottom" localSheetId="4">'Beispiel 2'!$M$260</definedName>
    <definedName name="rF1.EccentricityShiftC5Bottom" localSheetId="5">'Beispiel 3'!$M$260</definedName>
    <definedName name="rF1.EccentricityShiftC5Bottom" localSheetId="2">Berechnung!$M$260</definedName>
    <definedName name="rF1.EccentricityShiftC5Middle" localSheetId="3">'Beispiel 1'!$M$237</definedName>
    <definedName name="rF1.EccentricityShiftC5Middle" localSheetId="4">'Beispiel 2'!$M$237</definedName>
    <definedName name="rF1.EccentricityShiftC5Middle" localSheetId="5">'Beispiel 3'!$M$237</definedName>
    <definedName name="rF1.EccentricityShiftC5Middle" localSheetId="2">Berechnung!$M$237</definedName>
    <definedName name="rF1.EccentricityShiftC5Top" localSheetId="3">'Beispiel 1'!$M$226</definedName>
    <definedName name="rF1.EccentricityShiftC5Top" localSheetId="4">'Beispiel 2'!$M$226</definedName>
    <definedName name="rF1.EccentricityShiftC5Top" localSheetId="5">'Beispiel 3'!$M$226</definedName>
    <definedName name="rF1.EccentricityShiftC5Top" localSheetId="2">Berechnung!$M$226</definedName>
    <definedName name="rF1.EccentricitySlabBottom" localSheetId="3">'Beispiel 1'!$M$255</definedName>
    <definedName name="rF1.EccentricitySlabBottom" localSheetId="4">'Beispiel 2'!$M$255</definedName>
    <definedName name="rF1.EccentricitySlabBottom" localSheetId="5">'Beispiel 3'!$M$255</definedName>
    <definedName name="rF1.EccentricitySlabBottom" localSheetId="2">Berechnung!$M$255</definedName>
    <definedName name="rF1.EccentricitySlabLoadBottom" localSheetId="3">'Beispiel 1'!$N$43</definedName>
    <definedName name="rF1.EccentricitySlabLoadBottom" localSheetId="4">'Beispiel 2'!$N$43</definedName>
    <definedName name="rF1.EccentricitySlabLoadBottom" localSheetId="5">'Beispiel 3'!$N$43</definedName>
    <definedName name="rF1.EccentricitySlabLoadBottom" localSheetId="2">Berechnung!$N$43</definedName>
    <definedName name="rF1.EccentricitySlabLoadTop" localSheetId="3">'Beispiel 1'!$N$42</definedName>
    <definedName name="rF1.EccentricitySlabLoadTop" localSheetId="4">'Beispiel 2'!$N$42</definedName>
    <definedName name="rF1.EccentricitySlabLoadTop" localSheetId="5">'Beispiel 3'!$N$42</definedName>
    <definedName name="rF1.EccentricitySlabLoadTop" localSheetId="2">Berechnung!$N$42</definedName>
    <definedName name="rF1.EccentricitySlabMiddle" localSheetId="3">'Beispiel 1'!$M$238</definedName>
    <definedName name="rF1.EccentricitySlabMiddle" localSheetId="4">'Beispiel 2'!$M$238</definedName>
    <definedName name="rF1.EccentricitySlabMiddle" localSheetId="5">'Beispiel 3'!$M$238</definedName>
    <definedName name="rF1.EccentricitySlabMiddle" localSheetId="2">Berechnung!$M$238</definedName>
    <definedName name="rF1.EccentricitySlabTop" localSheetId="3">'Beispiel 1'!$M$221</definedName>
    <definedName name="rF1.EccentricitySlabTop" localSheetId="4">'Beispiel 2'!$M$221</definedName>
    <definedName name="rF1.EccentricitySlabTop" localSheetId="5">'Beispiel 3'!$M$221</definedName>
    <definedName name="rF1.EccentricitySlabTop" localSheetId="2">Berechnung!$M$221</definedName>
    <definedName name="rF1.EccentricitySystemMiddle" localSheetId="3">'Beispiel 1'!$M$236</definedName>
    <definedName name="rF1.EccentricitySystemMiddle" localSheetId="4">'Beispiel 2'!$M$236</definedName>
    <definedName name="rF1.EccentricitySystemMiddle" localSheetId="5">'Beispiel 3'!$M$236</definedName>
    <definedName name="rF1.EccentricitySystemMiddle" localSheetId="2">Berechnung!$M$236</definedName>
    <definedName name="rF1.EccentricityTopAC5" localSheetId="3">'Beispiel 1'!$G$225</definedName>
    <definedName name="rF1.EccentricityTopAC5" localSheetId="4">'Beispiel 2'!$G$225</definedName>
    <definedName name="rF1.EccentricityTopAC5" localSheetId="5">'Beispiel 3'!$G$225</definedName>
    <definedName name="rF1.EccentricityTopAC5" localSheetId="2">Berechnung!$G$225</definedName>
    <definedName name="rF1.EccentricityTopReg" localSheetId="3">'Beispiel 1'!$F$225</definedName>
    <definedName name="rF1.EccentricityTopReg" localSheetId="4">'Beispiel 2'!$F$225</definedName>
    <definedName name="rF1.EccentricityTopReg" localSheetId="5">'Beispiel 3'!$F$225</definedName>
    <definedName name="rF1.EccentricityTopReg" localSheetId="2">Berechnung!$F$225</definedName>
    <definedName name="rF1.EccentricityTotalBottom" localSheetId="3">'Beispiel 1'!$M$259</definedName>
    <definedName name="rF1.EccentricityTotalBottom" localSheetId="4">'Beispiel 2'!$M$259</definedName>
    <definedName name="rF1.EccentricityTotalBottom" localSheetId="5">'Beispiel 3'!$M$259</definedName>
    <definedName name="rF1.EccentricityTotalBottom" localSheetId="2">Berechnung!$M$259</definedName>
    <definedName name="rF1.EccentricityTotalMiddle" localSheetId="3">'Beispiel 1'!$M$243</definedName>
    <definedName name="rF1.EccentricityTotalMiddle" localSheetId="4">'Beispiel 2'!$M$243</definedName>
    <definedName name="rF1.EccentricityTotalMiddle" localSheetId="5">'Beispiel 3'!$M$243</definedName>
    <definedName name="rF1.EccentricityTotalMiddle" localSheetId="2">Berechnung!$M$243</definedName>
    <definedName name="rF1.EccentricityTotalTop" localSheetId="3">'Beispiel 1'!$M$225</definedName>
    <definedName name="rF1.EccentricityTotalTop" localSheetId="4">'Beispiel 2'!$M$225</definedName>
    <definedName name="rF1.EccentricityTotalTop" localSheetId="5">'Beispiel 3'!$M$225</definedName>
    <definedName name="rF1.EccentricityTotalTop" localSheetId="2">Berechnung!$M$225</definedName>
    <definedName name="rF1.EccentricityWindBottom" localSheetId="3">'Beispiel 1'!$M$256</definedName>
    <definedName name="rF1.EccentricityWindBottom" localSheetId="4">'Beispiel 2'!$M$256</definedName>
    <definedName name="rF1.EccentricityWindBottom" localSheetId="5">'Beispiel 3'!$M$256</definedName>
    <definedName name="rF1.EccentricityWindBottom" localSheetId="2">Berechnung!$M$256</definedName>
    <definedName name="rF1.EccentricityWindMiddle" localSheetId="3">'Beispiel 1'!$M$239</definedName>
    <definedName name="rF1.EccentricityWindMiddle" localSheetId="4">'Beispiel 2'!$M$239</definedName>
    <definedName name="rF1.EccentricityWindMiddle" localSheetId="5">'Beispiel 3'!$M$239</definedName>
    <definedName name="rF1.EccentricityWindMiddle" localSheetId="2">Berechnung!$M$239</definedName>
    <definedName name="rF1.EccentricityWindTop" localSheetId="3">'Beispiel 1'!$M$222</definedName>
    <definedName name="rF1.EccentricityWindTop" localSheetId="4">'Beispiel 2'!$M$222</definedName>
    <definedName name="rF1.EccentricityWindTop" localSheetId="5">'Beispiel 3'!$M$222</definedName>
    <definedName name="rF1.EccentricityWindTop" localSheetId="2">Berechnung!$M$222</definedName>
    <definedName name="rF1.FireResClassSelection" localSheetId="3">'Beispiel 1'!$N$14</definedName>
    <definedName name="rF1.FireResClassSelection" localSheetId="4">'Beispiel 2'!$N$14</definedName>
    <definedName name="rF1.FireResClassSelection" localSheetId="5">'Beispiel 3'!$N$14</definedName>
    <definedName name="rF1.FireResClassSelection" localSheetId="2">Berechnung!$N$14</definedName>
    <definedName name="rF1.FireResistanceCoeff" localSheetId="3">'Beispiel 1'!$M$230</definedName>
    <definedName name="rF1.FireResistanceCoeff" localSheetId="4">'Beispiel 2'!$M$230</definedName>
    <definedName name="rF1.FireResistanceCoeff" localSheetId="5">'Beispiel 3'!$M$230</definedName>
    <definedName name="rF1.FireResistanceCoeff" localSheetId="2">Berechnung!$M$230</definedName>
    <definedName name="rF1.FireResNN" localSheetId="3">'Beispiel 1'!$E$38</definedName>
    <definedName name="rF1.FireResNN" localSheetId="4">'Beispiel 2'!$E$38</definedName>
    <definedName name="rF1.FireResNN" localSheetId="5">'Beispiel 3'!$E$38</definedName>
    <definedName name="rF1.FireResNN" localSheetId="2">Berechnung!$E$38</definedName>
    <definedName name="rF1.FixedVergesNumber" localSheetId="3">'Beispiel 1'!$N$147</definedName>
    <definedName name="rF1.FixedVergesNumber" localSheetId="4">'Beispiel 2'!$N$147</definedName>
    <definedName name="rF1.FixedVergesNumber" localSheetId="5">'Beispiel 3'!$N$147</definedName>
    <definedName name="rF1.FixedVergesNumber" localSheetId="2">Berechnung!$N$147</definedName>
    <definedName name="rF1.FixedVergesNumberSelection" localSheetId="3">'Beispiel 1'!$G$147</definedName>
    <definedName name="rF1.FixedVergesNumberSelection" localSheetId="4">'Beispiel 2'!$G$147</definedName>
    <definedName name="rF1.FixedVergesNumberSelection" localSheetId="5">'Beispiel 3'!$G$147</definedName>
    <definedName name="rF1.FixedVergesNumberSelection" localSheetId="2">Berechnung!$G$147</definedName>
    <definedName name="rF1.FixedVergesSelection" localSheetId="3">'Beispiel 1'!$M$9:$O$9</definedName>
    <definedName name="rF1.FixedVergesSelection" localSheetId="4">'Beispiel 2'!$M$9:$O$9</definedName>
    <definedName name="rF1.FixedVergesSelection" localSheetId="5">'Beispiel 3'!$M$9:$O$9</definedName>
    <definedName name="rF1.FixedVergesSelection" localSheetId="2">Berechnung!$M$9:$O$9</definedName>
    <definedName name="rF1.FixedVergesSelection01" localSheetId="3">'Beispiel 1'!$M$9</definedName>
    <definedName name="rF1.FixedVergesSelection01" localSheetId="4">'Beispiel 2'!$M$9</definedName>
    <definedName name="rF1.FixedVergesSelection01" localSheetId="5">'Beispiel 3'!$M$9</definedName>
    <definedName name="rF1.FixedVergesSelection01" localSheetId="2">Berechnung!$M$9</definedName>
    <definedName name="rF1.FixedVergesSelection02" localSheetId="3">'Beispiel 1'!$N$9</definedName>
    <definedName name="rF1.FixedVergesSelection02" localSheetId="4">'Beispiel 2'!$N$9</definedName>
    <definedName name="rF1.FixedVergesSelection02" localSheetId="5">'Beispiel 3'!$N$9</definedName>
    <definedName name="rF1.FixedVergesSelection02" localSheetId="2">Berechnung!$N$9</definedName>
    <definedName name="rF1.FixedVergesSelection03" localSheetId="3">'Beispiel 1'!$O$9</definedName>
    <definedName name="rF1.FixedVergesSelection03" localSheetId="4">'Beispiel 2'!$O$9</definedName>
    <definedName name="rF1.FixedVergesSelection03" localSheetId="5">'Beispiel 3'!$O$9</definedName>
    <definedName name="rF1.FixedVergesSelection03" localSheetId="2">Berechnung!$O$9</definedName>
    <definedName name="rF1.InertiaBottom" localSheetId="3">'Beispiel 1'!$M$164:$O$164</definedName>
    <definedName name="rF1.InertiaBottom" localSheetId="4">'Beispiel 2'!$M$164:$O$164</definedName>
    <definedName name="rF1.InertiaBottom" localSheetId="5">'Beispiel 3'!$M$164:$O$164</definedName>
    <definedName name="rF1.InertiaBottom" localSheetId="2">Berechnung!$M$164:$O$164</definedName>
    <definedName name="rF1.InertiaSlab" localSheetId="3">'Beispiel 1'!$M$180:$P$180</definedName>
    <definedName name="rF1.InertiaSlab" localSheetId="4">'Beispiel 2'!$M$180:$P$180</definedName>
    <definedName name="rF1.InertiaSlab" localSheetId="5">'Beispiel 3'!$M$180:$P$180</definedName>
    <definedName name="rF1.InertiaSlab" localSheetId="2">Berechnung!$M$180:$P$180</definedName>
    <definedName name="rF1.InertiaTop" localSheetId="3">'Beispiel 1'!$M$163:$O$163</definedName>
    <definedName name="rF1.InertiaTop" localSheetId="4">'Beispiel 2'!$M$163:$O$163</definedName>
    <definedName name="rF1.InertiaTop" localSheetId="5">'Beispiel 3'!$M$163:$O$163</definedName>
    <definedName name="rF1.InertiaTop" localSheetId="2">Berechnung!$M$163:$O$163</definedName>
    <definedName name="rF1.LiveLoadDesign" localSheetId="3">'Beispiel 1'!$M$59:$P$59</definedName>
    <definedName name="rF1.LiveLoadDesign" localSheetId="4">'Beispiel 2'!$M$59:$P$59</definedName>
    <definedName name="rF1.LiveLoadDesign" localSheetId="5">'Beispiel 3'!$M$59:$P$59</definedName>
    <definedName name="rF1.LiveLoadDesign" localSheetId="2">Berechnung!$M$59:$P$59</definedName>
    <definedName name="rF1.LoadFactorBottom" localSheetId="3">'Beispiel 1'!$M$263</definedName>
    <definedName name="rF1.LoadFactorBottom" localSheetId="4">'Beispiel 2'!$M$263</definedName>
    <definedName name="rF1.LoadFactorBottom" localSheetId="5">'Beispiel 3'!$M$263</definedName>
    <definedName name="rF1.LoadFactorBottom" localSheetId="2">Berechnung!$M$263</definedName>
    <definedName name="rF1.LoadFactorBottomFire" localSheetId="3">'Beispiel 1'!$M$267</definedName>
    <definedName name="rF1.LoadFactorBottomFire" localSheetId="4">'Beispiel 2'!$M$267</definedName>
    <definedName name="rF1.LoadFactorBottomFire" localSheetId="5">'Beispiel 3'!$M$267</definedName>
    <definedName name="rF1.LoadFactorBottomFire" localSheetId="2">Berechnung!$M$267</definedName>
    <definedName name="rF1.LoadFactorBottomFireMax" localSheetId="3">'Beispiel 1'!$M$266</definedName>
    <definedName name="rF1.LoadFactorBottomFireMax" localSheetId="4">'Beispiel 2'!$M$266</definedName>
    <definedName name="rF1.LoadFactorBottomFireMax" localSheetId="5">'Beispiel 3'!$M$266</definedName>
    <definedName name="rF1.LoadFactorBottomFireMax" localSheetId="2">Berechnung!$M$266</definedName>
    <definedName name="rF1.LoadFactorBottomFireReduced" localSheetId="3">'Beispiel 1'!$M$265</definedName>
    <definedName name="rF1.LoadFactorBottomFireReduced" localSheetId="4">'Beispiel 2'!$M$265</definedName>
    <definedName name="rF1.LoadFactorBottomFireReduced" localSheetId="5">'Beispiel 3'!$M$265</definedName>
    <definedName name="rF1.LoadFactorBottomFireReduced" localSheetId="2">Berechnung!$M$265</definedName>
    <definedName name="rF1.LoadFactorMiddle" localSheetId="3">'Beispiel 1'!$M$247</definedName>
    <definedName name="rF1.LoadFactorMiddle" localSheetId="4">'Beispiel 2'!$M$247</definedName>
    <definedName name="rF1.LoadFactorMiddle" localSheetId="5">'Beispiel 3'!$M$247</definedName>
    <definedName name="rF1.LoadFactorMiddle" localSheetId="2">Berechnung!$M$247</definedName>
    <definedName name="rF1.LoadFactorMiddleFire" localSheetId="3">'Beispiel 1'!$M$251</definedName>
    <definedName name="rF1.LoadFactorMiddleFire" localSheetId="4">'Beispiel 2'!$M$251</definedName>
    <definedName name="rF1.LoadFactorMiddleFire" localSheetId="5">'Beispiel 3'!$M$251</definedName>
    <definedName name="rF1.LoadFactorMiddleFire" localSheetId="2">Berechnung!$M$251</definedName>
    <definedName name="rF1.LoadFactorMiddleFireMax" localSheetId="3">'Beispiel 1'!$M$250</definedName>
    <definedName name="rF1.LoadFactorMiddleFireMax" localSheetId="4">'Beispiel 2'!$M$250</definedName>
    <definedName name="rF1.LoadFactorMiddleFireMax" localSheetId="5">'Beispiel 3'!$M$250</definedName>
    <definedName name="rF1.LoadFactorMiddleFireMax" localSheetId="2">Berechnung!$M$250</definedName>
    <definedName name="rF1.LoadFactorMiddleFireReduced" localSheetId="3">'Beispiel 1'!$M$249</definedName>
    <definedName name="rF1.LoadFactorMiddleFireReduced" localSheetId="4">'Beispiel 2'!$M$249</definedName>
    <definedName name="rF1.LoadFactorMiddleFireReduced" localSheetId="5">'Beispiel 3'!$M$249</definedName>
    <definedName name="rF1.LoadFactorMiddleFireReduced" localSheetId="2">Berechnung!$M$249</definedName>
    <definedName name="rF1.LoadFactorTop" localSheetId="3">'Beispiel 1'!$M$229</definedName>
    <definedName name="rF1.LoadFactorTop" localSheetId="4">'Beispiel 2'!$M$229</definedName>
    <definedName name="rF1.LoadFactorTop" localSheetId="5">'Beispiel 3'!$M$229</definedName>
    <definedName name="rF1.LoadFactorTop" localSheetId="2">Berechnung!$M$229</definedName>
    <definedName name="rF1.LoadFactorTopFire" localSheetId="3">'Beispiel 1'!$M$233</definedName>
    <definedName name="rF1.LoadFactorTopFire" localSheetId="4">'Beispiel 2'!$M$233</definedName>
    <definedName name="rF1.LoadFactorTopFire" localSheetId="5">'Beispiel 3'!$M$233</definedName>
    <definedName name="rF1.LoadFactorTopFire" localSheetId="2">Berechnung!$M$233</definedName>
    <definedName name="rF1.LoadFactorTopFireMax" localSheetId="3">'Beispiel 1'!$M$232</definedName>
    <definedName name="rF1.LoadFactorTopFireMax" localSheetId="4">'Beispiel 2'!$M$232</definedName>
    <definedName name="rF1.LoadFactorTopFireMax" localSheetId="5">'Beispiel 3'!$M$232</definedName>
    <definedName name="rF1.LoadFactorTopFireMax" localSheetId="2">Berechnung!$M$232</definedName>
    <definedName name="rF1.LoadFactorTopFireReduced" localSheetId="3">'Beispiel 1'!$M$231</definedName>
    <definedName name="rF1.LoadFactorTopFireReduced" localSheetId="4">'Beispiel 2'!$M$231</definedName>
    <definedName name="rF1.LoadFactorTopFireReduced" localSheetId="5">'Beispiel 3'!$M$231</definedName>
    <definedName name="rF1.LoadFactorTopFireReduced" localSheetId="2">Berechnung!$M$231</definedName>
    <definedName name="rF1.LoadStiffness01" localSheetId="3">'Beispiel 1'!$M$185</definedName>
    <definedName name="rF1.LoadStiffness01" localSheetId="4">'Beispiel 2'!$M$185</definedName>
    <definedName name="rF1.LoadStiffness01" localSheetId="5">'Beispiel 3'!$M$185</definedName>
    <definedName name="rF1.LoadStiffness01" localSheetId="2">Berechnung!$M$185</definedName>
    <definedName name="rF1.LoadStiffness02" localSheetId="3">'Beispiel 1'!$N$185</definedName>
    <definedName name="rF1.LoadStiffness02" localSheetId="4">'Beispiel 2'!$N$185</definedName>
    <definedName name="rF1.LoadStiffness02" localSheetId="5">'Beispiel 3'!$N$185</definedName>
    <definedName name="rF1.LoadStiffness02" localSheetId="2">Berechnung!$N$185</definedName>
    <definedName name="rF1.LoadStiffness03" localSheetId="3">'Beispiel 1'!$O$185</definedName>
    <definedName name="rF1.LoadStiffness03" localSheetId="4">'Beispiel 2'!$O$185</definedName>
    <definedName name="rF1.LoadStiffness03" localSheetId="5">'Beispiel 3'!$O$185</definedName>
    <definedName name="rF1.LoadStiffness03" localSheetId="2">Berechnung!$O$185</definedName>
    <definedName name="rF1.LoadStiffness04" localSheetId="3">'Beispiel 1'!$P$185</definedName>
    <definedName name="rF1.LoadStiffness04" localSheetId="4">'Beispiel 2'!$P$185</definedName>
    <definedName name="rF1.LoadStiffness04" localSheetId="5">'Beispiel 3'!$P$185</definedName>
    <definedName name="rF1.LoadStiffness04" localSheetId="2">Berechnung!$P$185</definedName>
    <definedName name="rF1.MainGroupSelection" localSheetId="3">'Beispiel 1'!$M$1:$O$1</definedName>
    <definedName name="rF1.MainGroupSelection" localSheetId="4">'Beispiel 2'!$M$1:$O$1</definedName>
    <definedName name="rF1.MainGroupSelection" localSheetId="5">'Beispiel 3'!$M$1:$O$1</definedName>
    <definedName name="rF1.MainGroupSelection" localSheetId="2">Berechnung!$M$1:$O$1</definedName>
    <definedName name="rF1.MainGroupSelection01" localSheetId="3">'Beispiel 1'!$M$1</definedName>
    <definedName name="rF1.MainGroupSelection01" localSheetId="4">'Beispiel 2'!$M$1</definedName>
    <definedName name="rF1.MainGroupSelection01" localSheetId="5">'Beispiel 3'!$M$1</definedName>
    <definedName name="rF1.MainGroupSelection01" localSheetId="2">Berechnung!$M$1</definedName>
    <definedName name="rF1.MainGroupSelection02" localSheetId="3">'Beispiel 1'!$N$1</definedName>
    <definedName name="rF1.MainGroupSelection02" localSheetId="4">'Beispiel 2'!$N$1</definedName>
    <definedName name="rF1.MainGroupSelection02" localSheetId="5">'Beispiel 3'!$N$1</definedName>
    <definedName name="rF1.MainGroupSelection02" localSheetId="2">Berechnung!$N$1</definedName>
    <definedName name="rF1.MainGroupSelection03" localSheetId="3">'Beispiel 1'!$O$1</definedName>
    <definedName name="rF1.MainGroupSelection03" localSheetId="4">'Beispiel 2'!$O$1</definedName>
    <definedName name="rF1.MainGroupSelection03" localSheetId="5">'Beispiel 3'!$O$1</definedName>
    <definedName name="rF1.MainGroupSelection03" localSheetId="2">Berechnung!$O$1</definedName>
    <definedName name="rF1.MasonryElasticity" localSheetId="3">'Beispiel 1'!$M$167:$O$167</definedName>
    <definedName name="rF1.MasonryElasticity" localSheetId="4">'Beispiel 2'!$M$167:$O$167</definedName>
    <definedName name="rF1.MasonryElasticity" localSheetId="5">'Beispiel 3'!$M$167:$O$167</definedName>
    <definedName name="rF1.MasonryElasticity" localSheetId="2">Berechnung!$M$167:$O$167</definedName>
    <definedName name="rF1.MasonryStiffnessFactor" localSheetId="3">'Beispiel 1'!$M$165:$O$165</definedName>
    <definedName name="rF1.MasonryStiffnessFactor" localSheetId="4">'Beispiel 2'!$M$165:$O$165</definedName>
    <definedName name="rF1.MasonryStiffnessFactor" localSheetId="5">'Beispiel 3'!$M$165:$O$165</definedName>
    <definedName name="rF1.MasonryStiffnessFactor" localSheetId="2">Berechnung!$M$165:$O$165</definedName>
    <definedName name="rF1.MasonryStrenghtChar" localSheetId="3">'Beispiel 1'!$M$140:$O$140</definedName>
    <definedName name="rF1.MasonryStrenghtChar" localSheetId="4">'Beispiel 2'!$M$140:$O$140</definedName>
    <definedName name="rF1.MasonryStrenghtChar" localSheetId="5">'Beispiel 3'!$M$140:$O$140</definedName>
    <definedName name="rF1.MasonryStrenghtChar" localSheetId="2">Berechnung!$M$140:$O$140</definedName>
    <definedName name="rF1.MasonryStrenghtChar01" localSheetId="3">'Beispiel 1'!$M$140</definedName>
    <definedName name="rF1.MasonryStrenghtChar01" localSheetId="4">'Beispiel 2'!$M$140</definedName>
    <definedName name="rF1.MasonryStrenghtChar01" localSheetId="5">'Beispiel 3'!$M$140</definedName>
    <definedName name="rF1.MasonryStrenghtChar01" localSheetId="2">Berechnung!$M$140</definedName>
    <definedName name="rF1.MasonryStrenghtChar02" localSheetId="3">'Beispiel 1'!$N$140</definedName>
    <definedName name="rF1.MasonryStrenghtChar02" localSheetId="4">'Beispiel 2'!$N$140</definedName>
    <definedName name="rF1.MasonryStrenghtChar02" localSheetId="5">'Beispiel 3'!$N$140</definedName>
    <definedName name="rF1.MasonryStrenghtChar02" localSheetId="2">Berechnung!$N$140</definedName>
    <definedName name="rF1.MasonryStrenghtChar03" localSheetId="3">'Beispiel 1'!$O$140</definedName>
    <definedName name="rF1.MasonryStrenghtChar03" localSheetId="4">'Beispiel 2'!$O$140</definedName>
    <definedName name="rF1.MasonryStrenghtChar03" localSheetId="5">'Beispiel 3'!$O$140</definedName>
    <definedName name="rF1.MasonryStrenghtChar03" localSheetId="2">Berechnung!$O$140</definedName>
    <definedName name="rF1.MaxBearingDepthBottom02" localSheetId="3">'Beispiel 1'!$F$47</definedName>
    <definedName name="rF1.MaxBearingDepthBottom02" localSheetId="4">'Beispiel 2'!$F$47</definedName>
    <definedName name="rF1.MaxBearingDepthBottom02" localSheetId="5">'Beispiel 3'!$F$47</definedName>
    <definedName name="rF1.MaxBearingDepthBottom02" localSheetId="2">Berechnung!$F$47</definedName>
    <definedName name="rF1.MaxBearingDepthBottom03" localSheetId="3">'Beispiel 1'!$G$47</definedName>
    <definedName name="rF1.MaxBearingDepthBottom03" localSheetId="4">'Beispiel 2'!$G$47</definedName>
    <definedName name="rF1.MaxBearingDepthBottom03" localSheetId="5">'Beispiel 3'!$G$47</definedName>
    <definedName name="rF1.MaxBearingDepthBottom03" localSheetId="2">Berechnung!$G$47</definedName>
    <definedName name="rF1.MaxBearingDepthTop01" localSheetId="3">'Beispiel 1'!$E$46</definedName>
    <definedName name="rF1.MaxBearingDepthTop01" localSheetId="4">'Beispiel 2'!$E$46</definedName>
    <definedName name="rF1.MaxBearingDepthTop01" localSheetId="5">'Beispiel 3'!$E$46</definedName>
    <definedName name="rF1.MaxBearingDepthTop01" localSheetId="2">Berechnung!$E$46</definedName>
    <definedName name="rF1.MaxBearingDepthTop02" localSheetId="3">'Beispiel 1'!$F$46</definedName>
    <definedName name="rF1.MaxBearingDepthTop02" localSheetId="4">'Beispiel 2'!$F$46</definedName>
    <definedName name="rF1.MaxBearingDepthTop02" localSheetId="5">'Beispiel 3'!$F$46</definedName>
    <definedName name="rF1.MaxBearingDepthTop02" localSheetId="2">Berechnung!$F$46</definedName>
    <definedName name="rF1.MaximumDistanceLineLoad01" localSheetId="3">'Beispiel 1'!$E$65</definedName>
    <definedName name="rF1.MaximumDistanceLineLoad01" localSheetId="4">'Beispiel 2'!$E$65</definedName>
    <definedName name="rF1.MaximumDistanceLineLoad01" localSheetId="5">'Beispiel 3'!$E$65</definedName>
    <definedName name="rF1.MaximumDistanceLineLoad01" localSheetId="2">Berechnung!$E$65</definedName>
    <definedName name="rF1.MaximumDistanceLineLoad02" localSheetId="3">'Beispiel 1'!$F$65</definedName>
    <definedName name="rF1.MaximumDistanceLineLoad02" localSheetId="4">'Beispiel 2'!$F$65</definedName>
    <definedName name="rF1.MaximumDistanceLineLoad02" localSheetId="5">'Beispiel 3'!$F$65</definedName>
    <definedName name="rF1.MaximumDistanceLineLoad02" localSheetId="2">Berechnung!$F$65</definedName>
    <definedName name="rF1.MaximumDistanceLineLoad03" localSheetId="3">'Beispiel 1'!$G$65</definedName>
    <definedName name="rF1.MaximumDistanceLineLoad03" localSheetId="4">'Beispiel 2'!$G$65</definedName>
    <definedName name="rF1.MaximumDistanceLineLoad03" localSheetId="5">'Beispiel 3'!$G$65</definedName>
    <definedName name="rF1.MaximumDistanceLineLoad03" localSheetId="2">Berechnung!$G$65</definedName>
    <definedName name="rF1.MaximumDistanceLineLoad04" localSheetId="3">'Beispiel 1'!$H$65</definedName>
    <definedName name="rF1.MaximumDistanceLineLoad04" localSheetId="4">'Beispiel 2'!$H$65</definedName>
    <definedName name="rF1.MaximumDistanceLineLoad04" localSheetId="5">'Beispiel 3'!$H$65</definedName>
    <definedName name="rF1.MaximumDistanceLineLoad04" localSheetId="2">Berechnung!$H$65</definedName>
    <definedName name="rF1.MinBearingDepthBottom02" localSheetId="3">'Beispiel 1'!$F$45</definedName>
    <definedName name="rF1.MinBearingDepthBottom02" localSheetId="4">'Beispiel 2'!$F$45</definedName>
    <definedName name="rF1.MinBearingDepthBottom02" localSheetId="5">'Beispiel 3'!$F$45</definedName>
    <definedName name="rF1.MinBearingDepthBottom02" localSheetId="2">Berechnung!$F$45</definedName>
    <definedName name="rF1.MinBearingDepthBottom03" localSheetId="3">'Beispiel 1'!$G$45</definedName>
    <definedName name="rF1.MinBearingDepthBottom03" localSheetId="4">'Beispiel 2'!$G$45</definedName>
    <definedName name="rF1.MinBearingDepthBottom03" localSheetId="5">'Beispiel 3'!$G$45</definedName>
    <definedName name="rF1.MinBearingDepthBottom03" localSheetId="2">Berechnung!$G$45</definedName>
    <definedName name="rF1.MinBearingDepthTop01" localSheetId="3">'Beispiel 1'!$E$44</definedName>
    <definedName name="rF1.MinBearingDepthTop01" localSheetId="4">'Beispiel 2'!$E$44</definedName>
    <definedName name="rF1.MinBearingDepthTop01" localSheetId="5">'Beispiel 3'!$E$44</definedName>
    <definedName name="rF1.MinBearingDepthTop01" localSheetId="2">Berechnung!$E$44</definedName>
    <definedName name="rF1.MinBearingDepthTop02" localSheetId="3">'Beispiel 1'!$F$44</definedName>
    <definedName name="rF1.MinBearingDepthTop02" localSheetId="4">'Beispiel 2'!$F$44</definedName>
    <definedName name="rF1.MinBearingDepthTop02" localSheetId="5">'Beispiel 3'!$F$44</definedName>
    <definedName name="rF1.MinBearingDepthTop02" localSheetId="2">Berechnung!$F$44</definedName>
    <definedName name="rF1.MinInfluenceWidth01" localSheetId="3">'Beispiel 1'!$E$53</definedName>
    <definedName name="rF1.MinInfluenceWidth01" localSheetId="4">'Beispiel 2'!$E$53</definedName>
    <definedName name="rF1.MinInfluenceWidth01" localSheetId="5">'Beispiel 3'!$E$53</definedName>
    <definedName name="rF1.MinInfluenceWidth01" localSheetId="2">Berechnung!$E$53</definedName>
    <definedName name="rF1.MinInfluenceWidth02" localSheetId="3">'Beispiel 1'!$F$53</definedName>
    <definedName name="rF1.MinInfluenceWidth02" localSheetId="4">'Beispiel 2'!$F$53</definedName>
    <definedName name="rF1.MinInfluenceWidth02" localSheetId="5">'Beispiel 3'!$F$53</definedName>
    <definedName name="rF1.MinInfluenceWidth02" localSheetId="2">Berechnung!$F$53</definedName>
    <definedName name="rF1.MomentReductionBottom" localSheetId="3">'Beispiel 1'!$M$209</definedName>
    <definedName name="rF1.MomentReductionBottom" localSheetId="4">'Beispiel 2'!$M$209</definedName>
    <definedName name="rF1.MomentReductionBottom" localSheetId="5">'Beispiel 3'!$M$209</definedName>
    <definedName name="rF1.MomentReductionBottom" localSheetId="2">Berechnung!$M$209</definedName>
    <definedName name="rF1.MomentReductionTop" localSheetId="3">'Beispiel 1'!$M$205</definedName>
    <definedName name="rF1.MomentReductionTop" localSheetId="4">'Beispiel 2'!$M$205</definedName>
    <definedName name="rF1.MomentReductionTop" localSheetId="5">'Beispiel 3'!$M$205</definedName>
    <definedName name="rF1.MomentReductionTop" localSheetId="2">Berechnung!$M$205</definedName>
    <definedName name="rF1.MomentWindBottom" localSheetId="3">'Beispiel 1'!$M$216</definedName>
    <definedName name="rF1.MomentWindBottom" localSheetId="4">'Beispiel 2'!$M$216</definedName>
    <definedName name="rF1.MomentWindBottom" localSheetId="5">'Beispiel 3'!$M$216</definedName>
    <definedName name="rF1.MomentWindBottom" localSheetId="2">Berechnung!$M$216</definedName>
    <definedName name="rF1.MomentWindMiddle" localSheetId="3">'Beispiel 1'!$M$215</definedName>
    <definedName name="rF1.MomentWindMiddle" localSheetId="4">'Beispiel 2'!$M$215</definedName>
    <definedName name="rF1.MomentWindMiddle" localSheetId="5">'Beispiel 3'!$M$215</definedName>
    <definedName name="rF1.MomentWindMiddle" localSheetId="2">Berechnung!$M$215</definedName>
    <definedName name="rF1.MomentWindTop" localSheetId="3">'Beispiel 1'!$M$214</definedName>
    <definedName name="rF1.MomentWindTop" localSheetId="4">'Beispiel 2'!$M$214</definedName>
    <definedName name="rF1.MomentWindTop" localSheetId="5">'Beispiel 3'!$M$214</definedName>
    <definedName name="rF1.MomentWindTop" localSheetId="2">Berechnung!$M$214</definedName>
    <definedName name="rF1.MortarList01" localSheetId="3">IF(OR('Beispiel 1'!rF1.CheckConcreteWall=1,'Beispiel 1'!rF1.CheckFoundation=1),rP2.OutputNoInput,IF(OR('Beispiel 1'!rF1.MainGroupSelection01=1,'Beispiel 1'!rF1.MainGroupSelection01=2,'Beispiel 1'!rF1.MainGroupSelection01=4)=TRUE,'Beispiel 1'!rD2.MortarList01,'Beispiel 1'!rD2.MortarList02))</definedName>
    <definedName name="rF1.MortarList01" localSheetId="4">IF(OR('Beispiel 2'!rF1.CheckConcreteWall=1,'Beispiel 2'!rF1.CheckFoundation=1),rP2.OutputNoInput,IF(OR('Beispiel 2'!rF1.MainGroupSelection01=1,'Beispiel 2'!rF1.MainGroupSelection01=2,'Beispiel 2'!rF1.MainGroupSelection01=4)=TRUE,'Beispiel 2'!rD2.MortarList01,'Beispiel 2'!rD2.MortarList02))</definedName>
    <definedName name="rF1.MortarList01" localSheetId="5">IF(OR('Beispiel 3'!rF1.CheckConcreteWall=1,'Beispiel 3'!rF1.CheckFoundation=1),rP2.OutputNoInput,IF(OR('Beispiel 3'!rF1.MainGroupSelection01=1,'Beispiel 3'!rF1.MainGroupSelection01=2,'Beispiel 3'!rF1.MainGroupSelection01=4)=TRUE,'Beispiel 3'!rD2.MortarList01,'Beispiel 3'!rD2.MortarList02))</definedName>
    <definedName name="rF1.MortarList01" localSheetId="2">IF(OR(Berechnung!rF1.CheckConcreteWall=1,Berechnung!rF1.CheckFoundation=1),rP2.OutputNoInput,IF(OR(Berechnung!rF1.MainGroupSelection01=1,Berechnung!rF1.MainGroupSelection01=2,Berechnung!rF1.MainGroupSelection01=4)=TRUE,rD2.MortarList01,rD2.MortarList02))</definedName>
    <definedName name="rF1.MortarList02" localSheetId="3">IF(OR('Beispiel 1'!rF1.MainGroupSelection02=1,'Beispiel 1'!rF1.MainGroupSelection02=2,'Beispiel 1'!rF1.MainGroupSelection02=4)=TRUE,'Beispiel 1'!rD2.MortarList01,'Beispiel 1'!rD2.MortarList02)</definedName>
    <definedName name="rF1.MortarList02" localSheetId="4">IF(OR('Beispiel 2'!rF1.MainGroupSelection02=1,'Beispiel 2'!rF1.MainGroupSelection02=2,'Beispiel 2'!rF1.MainGroupSelection02=4)=TRUE,'Beispiel 2'!rD2.MortarList01,'Beispiel 2'!rD2.MortarList02)</definedName>
    <definedName name="rF1.MortarList02" localSheetId="5">IF(OR('Beispiel 3'!rF1.MainGroupSelection02=1,'Beispiel 3'!rF1.MainGroupSelection02=2,'Beispiel 3'!rF1.MainGroupSelection02=4)=TRUE,'Beispiel 3'!rD2.MortarList01,'Beispiel 3'!rD2.MortarList02)</definedName>
    <definedName name="rF1.MortarList02" localSheetId="2">IF(OR(Berechnung!rF1.MainGroupSelection02=1,Berechnung!rF1.MainGroupSelection02=2,Berechnung!rF1.MainGroupSelection02=4)=TRUE,rD2.MortarList01,rD2.MortarList02)</definedName>
    <definedName name="rF1.MortarList03" localSheetId="3">IF('Beispiel 1'!rF1.CheckWallNotExisting=1,rP2.OutputNoInput,IF(OR('Beispiel 1'!rF1.MainGroupSelection03=1,'Beispiel 1'!rF1.MainGroupSelection03=2,'Beispiel 1'!rF1.MainGroupSelection03=4)=TRUE,'Beispiel 1'!rD2.MortarList01,'Beispiel 1'!rD2.MortarList02))</definedName>
    <definedName name="rF1.MortarList03" localSheetId="4">IF('Beispiel 2'!rF1.CheckWallNotExisting=1,rP2.OutputNoInput,IF(OR('Beispiel 2'!rF1.MainGroupSelection03=1,'Beispiel 2'!rF1.MainGroupSelection03=2,'Beispiel 2'!rF1.MainGroupSelection03=4)=TRUE,'Beispiel 2'!rD2.MortarList01,'Beispiel 2'!rD2.MortarList02))</definedName>
    <definedName name="rF1.MortarList03" localSheetId="5">IF('Beispiel 3'!rF1.CheckWallNotExisting=1,rP2.OutputNoInput,IF(OR('Beispiel 3'!rF1.MainGroupSelection03=1,'Beispiel 3'!rF1.MainGroupSelection03=2,'Beispiel 3'!rF1.MainGroupSelection03=4)=TRUE,'Beispiel 3'!rD2.MortarList01,'Beispiel 3'!rD2.MortarList02))</definedName>
    <definedName name="rF1.MortarList03" localSheetId="2">IF(Berechnung!rF1.CheckWallNotExisting=1,rP2.OutputNoInput,IF(OR(Berechnung!rF1.MainGroupSelection03=1,Berechnung!rF1.MainGroupSelection03=2,Berechnung!rF1.MainGroupSelection03=4)=TRUE,rD2.MortarList01,rD2.MortarList02))</definedName>
    <definedName name="rF1.MortarProductSelection" localSheetId="3">'Beispiel 1'!$M$5:$O$5</definedName>
    <definedName name="rF1.MortarProductSelection" localSheetId="4">'Beispiel 2'!$M$5:$O$5</definedName>
    <definedName name="rF1.MortarProductSelection" localSheetId="5">'Beispiel 3'!$M$5:$O$5</definedName>
    <definedName name="rF1.MortarProductSelection" localSheetId="2">Berechnung!$M$5:$O$5</definedName>
    <definedName name="rF1.MortarSelection01" localSheetId="3">'Beispiel 1'!$M$5</definedName>
    <definedName name="rF1.MortarSelection01" localSheetId="4">'Beispiel 2'!$M$5</definedName>
    <definedName name="rF1.MortarSelection01" localSheetId="5">'Beispiel 3'!$M$5</definedName>
    <definedName name="rF1.MortarSelection01" localSheetId="2">Berechnung!$M$5</definedName>
    <definedName name="rF1.MortarSelection02" localSheetId="3">'Beispiel 1'!$N$5</definedName>
    <definedName name="rF1.MortarSelection02" localSheetId="4">'Beispiel 2'!$N$5</definedName>
    <definedName name="rF1.MortarSelection02" localSheetId="5">'Beispiel 3'!$N$5</definedName>
    <definedName name="rF1.MortarSelection02" localSheetId="2">Berechnung!$N$5</definedName>
    <definedName name="rF1.MortarSelection03" localSheetId="3">'Beispiel 1'!$O$5</definedName>
    <definedName name="rF1.MortarSelection03" localSheetId="4">'Beispiel 2'!$O$5</definedName>
    <definedName name="rF1.MortarSelection03" localSheetId="5">'Beispiel 3'!$O$5</definedName>
    <definedName name="rF1.MortarSelection03" localSheetId="2">Berechnung!$O$5</definedName>
    <definedName name="rF1.OverlappingList" localSheetId="3">OFFSET(rL5.OverlappingList,0,0,rL5.OverlappingListFactor,1)</definedName>
    <definedName name="rF1.OverlappingList" localSheetId="4">OFFSET(rL5.OverlappingList,0,0,rL5.OverlappingListFactor,1)</definedName>
    <definedName name="rF1.OverlappingList" localSheetId="5">OFFSET(rL5.OverlappingList,0,0,rL5.OverlappingListFactor,1)</definedName>
    <definedName name="rF1.OverlappingList" localSheetId="2">OFFSET(rL5.OverlappingList,0,0,rL5.OverlappingListFactor,1)</definedName>
    <definedName name="rF1.OverlappingSelection" localSheetId="3">'Beispiel 1'!$N$15</definedName>
    <definedName name="rF1.OverlappingSelection" localSheetId="4">'Beispiel 2'!$N$15</definedName>
    <definedName name="rF1.OverlappingSelection" localSheetId="5">'Beispiel 3'!$N$15</definedName>
    <definedName name="rF1.OverlappingSelection" localSheetId="2">Berechnung!$N$15</definedName>
    <definedName name="rF1.PerforationFactor" localSheetId="3">'Beispiel 1'!$N$136</definedName>
    <definedName name="rF1.PerforationFactor" localSheetId="4">'Beispiel 2'!$N$136</definedName>
    <definedName name="rF1.PerforationFactor" localSheetId="5">'Beispiel 3'!$N$136</definedName>
    <definedName name="rF1.PerforationFactor" localSheetId="2">Berechnung!$N$136</definedName>
    <definedName name="rF1.PlotAxForceBottom" localSheetId="3">'Beispiel 1'!$Y$100:$Y$202</definedName>
    <definedName name="rF1.PlotAxForceBottom" localSheetId="4">'Beispiel 2'!$Y$100:$Y$202</definedName>
    <definedName name="rF1.PlotAxForceBottom" localSheetId="5">'Beispiel 3'!$Y$100:$Y$202</definedName>
    <definedName name="rF1.PlotAxForceBottom" localSheetId="2">Berechnung!$Y$100:$Y$202</definedName>
    <definedName name="rF1.PlotAxForceFactor" localSheetId="3">'Beispiel 1'!$T$100:$T$202</definedName>
    <definedName name="rF1.PlotAxForceFactor" localSheetId="4">'Beispiel 2'!$T$100:$T$202</definedName>
    <definedName name="rF1.PlotAxForceFactor" localSheetId="5">'Beispiel 3'!$T$100:$T$202</definedName>
    <definedName name="rF1.PlotAxForceFactor" localSheetId="2">Berechnung!$T$100:$T$202</definedName>
    <definedName name="rF1.PlotAxForceMiddle" localSheetId="3">'Beispiel 1'!$AG$100:$AG$202</definedName>
    <definedName name="rF1.PlotAxForceMiddle" localSheetId="4">'Beispiel 2'!$AG$100:$AG$202</definedName>
    <definedName name="rF1.PlotAxForceMiddle" localSheetId="5">'Beispiel 3'!$AG$100:$AG$202</definedName>
    <definedName name="rF1.PlotAxForceMiddle" localSheetId="2">Berechnung!$AG$100:$AG$202</definedName>
    <definedName name="rF1.PlotAxForceTop" localSheetId="3">'Beispiel 1'!$U$100:$U$202</definedName>
    <definedName name="rF1.PlotAxForceTop" localSheetId="4">'Beispiel 2'!$U$100:$U$202</definedName>
    <definedName name="rF1.PlotAxForceTop" localSheetId="5">'Beispiel 3'!$U$100:$U$202</definedName>
    <definedName name="rF1.PlotAxForceTop" localSheetId="2">Berechnung!$U$100:$U$202</definedName>
    <definedName name="rF1.PlotAxResistanceMaxBottom" localSheetId="3">'Beispiel 1'!$Y$93</definedName>
    <definedName name="rF1.PlotAxResistanceMaxBottom" localSheetId="4">'Beispiel 2'!$Y$93</definedName>
    <definedName name="rF1.PlotAxResistanceMaxBottom" localSheetId="5">'Beispiel 3'!$Y$93</definedName>
    <definedName name="rF1.PlotAxResistanceMaxBottom" localSheetId="2">Berechnung!$Y$93</definedName>
    <definedName name="rF1.PlotAxResistanceMaxTop" localSheetId="3">'Beispiel 1'!$U$93</definedName>
    <definedName name="rF1.PlotAxResistanceMaxTop" localSheetId="4">'Beispiel 2'!$U$93</definedName>
    <definedName name="rF1.PlotAxResistanceMaxTop" localSheetId="5">'Beispiel 3'!$U$93</definedName>
    <definedName name="rF1.PlotAxResistanceMaxTop" localSheetId="2">Berechnung!$U$93</definedName>
    <definedName name="rF1.PlotExcentricityBottom" localSheetId="3">'Beispiel 1'!$Z$100:$Z$202</definedName>
    <definedName name="rF1.PlotExcentricityBottom" localSheetId="4">'Beispiel 2'!$Z$100:$Z$202</definedName>
    <definedName name="rF1.PlotExcentricityBottom" localSheetId="5">'Beispiel 3'!$Z$100:$Z$202</definedName>
    <definedName name="rF1.PlotExcentricityBottom" localSheetId="2">Berechnung!$Z$100:$Z$202</definedName>
    <definedName name="rF1.PlotExcentricityCreepMiddle" localSheetId="3">'Beispiel 1'!$AD$100:$AD$202</definedName>
    <definedName name="rF1.PlotExcentricityCreepMiddle" localSheetId="4">'Beispiel 2'!$AD$100:$AD$202</definedName>
    <definedName name="rF1.PlotExcentricityCreepMiddle" localSheetId="5">'Beispiel 3'!$AD$100:$AD$202</definedName>
    <definedName name="rF1.PlotExcentricityCreepMiddle" localSheetId="2">Berechnung!$AD$100:$AD$202</definedName>
    <definedName name="rF1.PlotExcentricityLoadMax" localSheetId="3">'Beispiel 1'!$AC$95</definedName>
    <definedName name="rF1.PlotExcentricityLoadMax" localSheetId="4">'Beispiel 2'!$AC$95</definedName>
    <definedName name="rF1.PlotExcentricityLoadMax" localSheetId="5">'Beispiel 3'!$AC$95</definedName>
    <definedName name="rF1.PlotExcentricityLoadMax" localSheetId="2">Berechnung!$AC$95</definedName>
    <definedName name="rF1.PlotExcentricityLoadMiddle" localSheetId="3">'Beispiel 1'!$AC$100:$AC$202</definedName>
    <definedName name="rF1.PlotExcentricityLoadMiddle" localSheetId="4">'Beispiel 2'!$AC$100:$AC$202</definedName>
    <definedName name="rF1.PlotExcentricityLoadMiddle" localSheetId="5">'Beispiel 3'!$AC$100:$AC$202</definedName>
    <definedName name="rF1.PlotExcentricityLoadMiddle" localSheetId="2">Berechnung!$AC$100:$AC$202</definedName>
    <definedName name="rF1.PlotExcentricityTop" localSheetId="3">'Beispiel 1'!$V$100:$V$202</definedName>
    <definedName name="rF1.PlotExcentricityTop" localSheetId="4">'Beispiel 2'!$V$100:$V$202</definedName>
    <definedName name="rF1.PlotExcentricityTop" localSheetId="5">'Beispiel 3'!$V$100:$V$202</definedName>
    <definedName name="rF1.PlotExcentricityTop" localSheetId="2">Berechnung!$V$100:$V$202</definedName>
    <definedName name="rF1.PlotExcentricityTotalMiddle" localSheetId="3">'Beispiel 1'!$AE$100:$AE$202</definedName>
    <definedName name="rF1.PlotExcentricityTotalMiddle" localSheetId="4">'Beispiel 2'!$AE$100:$AE$202</definedName>
    <definedName name="rF1.PlotExcentricityTotalMiddle" localSheetId="5">'Beispiel 3'!$AE$100:$AE$202</definedName>
    <definedName name="rF1.PlotExcentricityTotalMiddle" localSheetId="2">Berechnung!$AE$100:$AE$202</definedName>
    <definedName name="rF1.PlotFactorLineLoad" localSheetId="3">'Beispiel 1'!$T$50</definedName>
    <definedName name="rF1.PlotFactorLineLoad" localSheetId="4">'Beispiel 2'!$T$50</definedName>
    <definedName name="rF1.PlotFactorLineLoad" localSheetId="5">'Beispiel 3'!$T$50</definedName>
    <definedName name="rF1.PlotFactorLineLoad" localSheetId="2">Berechnung!$T$50</definedName>
    <definedName name="rF1.PlotFoundationHeight" localSheetId="3">'Beispiel 1'!$V$25</definedName>
    <definedName name="rF1.PlotFoundationHeight" localSheetId="4">'Beispiel 2'!$V$25</definedName>
    <definedName name="rF1.PlotFoundationHeight" localSheetId="5">'Beispiel 3'!$V$25</definedName>
    <definedName name="rF1.PlotFoundationHeight" localSheetId="2">Berechnung!$V$25</definedName>
    <definedName name="rF1.PlotFoundationWidth" localSheetId="3">'Beispiel 1'!$V$24</definedName>
    <definedName name="rF1.PlotFoundationWidth" localSheetId="4">'Beispiel 2'!$V$24</definedName>
    <definedName name="rF1.PlotFoundationWidth" localSheetId="5">'Beispiel 3'!$V$24</definedName>
    <definedName name="rF1.PlotFoundationWidth" localSheetId="2">Berechnung!$V$24</definedName>
    <definedName name="rF1.PlotHeightDotsWind" localSheetId="3">'Beispiel 1'!$AE$61:$AE$83</definedName>
    <definedName name="rF1.PlotHeightDotsWind" localSheetId="4">'Beispiel 2'!$AE$61:$AE$83</definedName>
    <definedName name="rF1.PlotHeightDotsWind" localSheetId="5">'Beispiel 3'!$AE$61:$AE$83</definedName>
    <definedName name="rF1.PlotHeightDotsWind" localSheetId="2">Berechnung!$AE$61:$AE$83</definedName>
    <definedName name="rF1.PlotHeightFirstFloor" localSheetId="3">'Beispiel 1'!$X$24</definedName>
    <definedName name="rF1.PlotHeightFirstFloor" localSheetId="4">'Beispiel 2'!$X$24</definedName>
    <definedName name="rF1.PlotHeightFirstFloor" localSheetId="5">'Beispiel 3'!$X$24</definedName>
    <definedName name="rF1.PlotHeightFirstFloor" localSheetId="2">Berechnung!$X$24</definedName>
    <definedName name="rF1.PlotMomentDotsWind" localSheetId="3">'Beispiel 1'!$AC$61:$AC$83</definedName>
    <definedName name="rF1.PlotMomentDotsWind" localSheetId="4">'Beispiel 2'!$AC$61:$AC$83</definedName>
    <definedName name="rF1.PlotMomentDotsWind" localSheetId="5">'Beispiel 3'!$AC$61:$AC$83</definedName>
    <definedName name="rF1.PlotMomentDotsWind" localSheetId="2">Berechnung!$AC$61:$AC$83</definedName>
    <definedName name="rF1.PlotOutlineFactor01" localSheetId="3">'Beispiel 1'!$T$47</definedName>
    <definedName name="rF1.PlotOutlineFactor01" localSheetId="4">'Beispiel 2'!$T$47</definedName>
    <definedName name="rF1.PlotOutlineFactor01" localSheetId="5">'Beispiel 3'!$T$47</definedName>
    <definedName name="rF1.PlotOutlineFactor01" localSheetId="2">Berechnung!$T$47</definedName>
    <definedName name="rF1.PlotOutlineFactor02" localSheetId="3">'Beispiel 1'!$T$68</definedName>
    <definedName name="rF1.PlotOutlineFactor02" localSheetId="4">'Beispiel 2'!$T$68</definedName>
    <definedName name="rF1.PlotOutlineFactor02" localSheetId="5">'Beispiel 3'!$T$68</definedName>
    <definedName name="rF1.PlotOutlineFactor02" localSheetId="2">Berechnung!$T$68</definedName>
    <definedName name="rF1.PlotOutlineFactor03" localSheetId="3">'Beispiel 1'!$X$81</definedName>
    <definedName name="rF1.PlotOutlineFactor03" localSheetId="4">'Beispiel 2'!$X$81</definedName>
    <definedName name="rF1.PlotOutlineFactor03" localSheetId="5">'Beispiel 3'!$X$81</definedName>
    <definedName name="rF1.PlotOutlineFactor03" localSheetId="2">Berechnung!$X$81</definedName>
    <definedName name="rF1.PlotPoints01" localSheetId="3">'Beispiel 1'!$V$31:$Z$45</definedName>
    <definedName name="rF1.PlotPoints01" localSheetId="4">'Beispiel 2'!$V$31:$Z$45</definedName>
    <definedName name="rF1.PlotPoints01" localSheetId="5">'Beispiel 3'!$V$31:$Z$45</definedName>
    <definedName name="rF1.PlotPoints01" localSheetId="2">Berechnung!$V$31:$Z$45</definedName>
    <definedName name="rF1.PlotPoints02" localSheetId="3">'Beispiel 1'!$AE$31:$AI$45</definedName>
    <definedName name="rF1.PlotPoints02" localSheetId="4">'Beispiel 2'!$AE$31:$AI$45</definedName>
    <definedName name="rF1.PlotPoints02" localSheetId="5">'Beispiel 3'!$AE$31:$AI$45</definedName>
    <definedName name="rF1.PlotPoints02" localSheetId="2">Berechnung!$AE$31:$AI$45</definedName>
    <definedName name="rF1.PlotRangeFull" localSheetId="3">'Beispiel 1'!$K$18:$Q$267</definedName>
    <definedName name="rF1.PlotRangeFull" localSheetId="4">'Beispiel 2'!$K$18:$Q$267</definedName>
    <definedName name="rF1.PlotRangeFull" localSheetId="5">'Beispiel 3'!$K$18:$Q$267</definedName>
    <definedName name="rF1.PlotRangeFull" localSheetId="2">Berechnung!$K$18:$Q$267</definedName>
    <definedName name="rF1.PlotRangeShort" localSheetId="3">'Beispiel 1'!$K$18:$Q$128</definedName>
    <definedName name="rF1.PlotRangeShort" localSheetId="4">'Beispiel 2'!$K$18:$Q$128</definedName>
    <definedName name="rF1.PlotRangeShort" localSheetId="5">'Beispiel 3'!$K$18:$Q$128</definedName>
    <definedName name="rF1.PlotRangeShort" localSheetId="2">Berechnung!$K$18:$Q$128</definedName>
    <definedName name="rF1.PlotReductionParameterMiddle" localSheetId="3">'Beispiel 1'!$AF$100:$AF$202</definedName>
    <definedName name="rF1.PlotReductionParameterMiddle" localSheetId="4">'Beispiel 2'!$AF$100:$AF$202</definedName>
    <definedName name="rF1.PlotReductionParameterMiddle" localSheetId="5">'Beispiel 3'!$AF$100:$AF$202</definedName>
    <definedName name="rF1.PlotReductionParameterMiddle" localSheetId="2">Berechnung!$AF$100:$AF$202</definedName>
    <definedName name="rF1.PlotWallThicknessNettoBottom" localSheetId="3">'Beispiel 1'!$Y$94</definedName>
    <definedName name="rF1.PlotWallThicknessNettoBottom" localSheetId="4">'Beispiel 2'!$Y$94</definedName>
    <definedName name="rF1.PlotWallThicknessNettoBottom" localSheetId="5">'Beispiel 3'!$Y$94</definedName>
    <definedName name="rF1.PlotWallThicknessNettoBottom" localSheetId="2">Berechnung!$Y$94</definedName>
    <definedName name="rF1.PlotWallThicknessNettoTop" localSheetId="3">'Beispiel 1'!$U$94</definedName>
    <definedName name="rF1.PlotWallThicknessNettoTop" localSheetId="4">'Beispiel 2'!$U$94</definedName>
    <definedName name="rF1.PlotWallThicknessNettoTop" localSheetId="5">'Beispiel 3'!$U$94</definedName>
    <definedName name="rF1.PlotWallThicknessNettoTop" localSheetId="2">Berechnung!$U$94</definedName>
    <definedName name="rF1.PositioningLineLoad" localSheetId="3">'Beispiel 1'!$M$65:$P$65</definedName>
    <definedName name="rF1.PositioningLineLoad" localSheetId="4">'Beispiel 2'!$M$65:$P$65</definedName>
    <definedName name="rF1.PositioningLineLoad" localSheetId="5">'Beispiel 3'!$M$65:$P$65</definedName>
    <definedName name="rF1.PositioningLineLoad" localSheetId="2">Berechnung!$M$65:$P$65</definedName>
    <definedName name="rF1.RatioLengthThick02" localSheetId="3">'Beispiel 1'!$G$145</definedName>
    <definedName name="rF1.RatioLengthThick02" localSheetId="4">'Beispiel 2'!$G$145</definedName>
    <definedName name="rF1.RatioLengthThick02" localSheetId="5">'Beispiel 3'!$G$145</definedName>
    <definedName name="rF1.RatioLengthThick02" localSheetId="2">Berechnung!$G$145</definedName>
    <definedName name="rF1.ReducedMasonryStregthTop02" localSheetId="3">'Beispiel 1'!$N$168</definedName>
    <definedName name="rF1.ReducedMasonryStregthTop02" localSheetId="4">'Beispiel 2'!$N$168</definedName>
    <definedName name="rF1.ReducedMasonryStregthTop02" localSheetId="5">'Beispiel 3'!$N$168</definedName>
    <definedName name="rF1.ReducedMasonryStregthTop02" localSheetId="2">Berechnung!$N$168</definedName>
    <definedName name="rF1.ReducedMasonryStrengthBottom02" localSheetId="3">'Beispiel 1'!$N$169</definedName>
    <definedName name="rF1.ReducedMasonryStrengthBottom02" localSheetId="4">'Beispiel 2'!$N$169</definedName>
    <definedName name="rF1.ReducedMasonryStrengthBottom02" localSheetId="5">'Beispiel 3'!$N$169</definedName>
    <definedName name="rF1.ReducedMasonryStrengthBottom02" localSheetId="2">Berechnung!$N$169</definedName>
    <definedName name="rF1.ReductionEccentricityBottom" localSheetId="3">'Beispiel 1'!$M$261</definedName>
    <definedName name="rF1.ReductionEccentricityBottom" localSheetId="4">'Beispiel 2'!$M$261</definedName>
    <definedName name="rF1.ReductionEccentricityBottom" localSheetId="5">'Beispiel 3'!$M$261</definedName>
    <definedName name="rF1.ReductionEccentricityBottom" localSheetId="2">Berechnung!$M$261</definedName>
    <definedName name="rF1.ReductionEccentricityMiddle" localSheetId="3">'Beispiel 1'!$M$245</definedName>
    <definedName name="rF1.ReductionEccentricityMiddle" localSheetId="4">'Beispiel 2'!$M$245</definedName>
    <definedName name="rF1.ReductionEccentricityMiddle" localSheetId="5">'Beispiel 3'!$M$245</definedName>
    <definedName name="rF1.ReductionEccentricityMiddle" localSheetId="2">Berechnung!$M$245</definedName>
    <definedName name="rF1.ReductionEccentricityTop" localSheetId="3">'Beispiel 1'!$M$227</definedName>
    <definedName name="rF1.ReductionEccentricityTop" localSheetId="4">'Beispiel 2'!$M$227</definedName>
    <definedName name="rF1.ReductionEccentricityTop" localSheetId="5">'Beispiel 3'!$M$227</definedName>
    <definedName name="rF1.ReductionEccentricityTop" localSheetId="2">Berechnung!$M$227</definedName>
    <definedName name="rF1.ReductionEccMiddle01" localSheetId="3">'Beispiel 1'!$F$245</definedName>
    <definedName name="rF1.ReductionEccMiddle01" localSheetId="4">'Beispiel 2'!$F$245</definedName>
    <definedName name="rF1.ReductionEccMiddle01" localSheetId="5">'Beispiel 3'!$F$245</definedName>
    <definedName name="rF1.ReductionEccMiddle01" localSheetId="2">Berechnung!$F$245</definedName>
    <definedName name="rF1.ReductionEccMiddle02" localSheetId="3">'Beispiel 1'!$G$245</definedName>
    <definedName name="rF1.ReductionEccMiddle02" localSheetId="4">'Beispiel 2'!$G$245</definedName>
    <definedName name="rF1.ReductionEccMiddle02" localSheetId="5">'Beispiel 3'!$G$245</definedName>
    <definedName name="rF1.ReductionEccMiddle02" localSheetId="2">Berechnung!$G$245</definedName>
    <definedName name="rF1.ReductionMasonryStrenghtArea02" localSheetId="3">'Beispiel 1'!$N$138</definedName>
    <definedName name="rF1.ReductionMasonryStrenghtArea02" localSheetId="4">'Beispiel 2'!$N$138</definedName>
    <definedName name="rF1.ReductionMasonryStrenghtArea02" localSheetId="5">'Beispiel 3'!$N$138</definedName>
    <definedName name="rF1.ReductionMasonryStrenghtArea02" localSheetId="2">Berechnung!$N$138</definedName>
    <definedName name="rF1.ReductionMasonryStrengthLongTerm" localSheetId="3">'Beispiel 1'!$N$139</definedName>
    <definedName name="rF1.ReductionMasonryStrengthLongTerm" localSheetId="4">'Beispiel 2'!$N$139</definedName>
    <definedName name="rF1.ReductionMasonryStrengthLongTerm" localSheetId="5">'Beispiel 3'!$N$139</definedName>
    <definedName name="rF1.ReductionMasonryStrengthLongTerm" localSheetId="2">Berechnung!$N$139</definedName>
    <definedName name="rF1.ReductionWallHeight02" localSheetId="3">'Beispiel 1'!$N$151</definedName>
    <definedName name="rF1.ReductionWallHeight02" localSheetId="4">'Beispiel 2'!$N$151</definedName>
    <definedName name="rF1.ReductionWallHeight02" localSheetId="5">'Beispiel 3'!$N$151</definedName>
    <definedName name="rF1.ReductionWallHeight02" localSheetId="2">Berechnung!$N$151</definedName>
    <definedName name="rF1.ReductionWallHeight03" localSheetId="3">'Beispiel 1'!$N$152</definedName>
    <definedName name="rF1.ReductionWallHeight03" localSheetId="4">'Beispiel 2'!$N$152</definedName>
    <definedName name="rF1.ReductionWallHeight03" localSheetId="5">'Beispiel 3'!$N$152</definedName>
    <definedName name="rF1.ReductionWallHeight03" localSheetId="2">Berechnung!$N$152</definedName>
    <definedName name="rF1.ReductionWallHeight04" localSheetId="3">'Beispiel 1'!$N$153</definedName>
    <definedName name="rF1.ReductionWallHeight04" localSheetId="4">'Beispiel 2'!$N$153</definedName>
    <definedName name="rF1.ReductionWallHeight04" localSheetId="5">'Beispiel 3'!$N$153</definedName>
    <definedName name="rF1.ReductionWallHeight04" localSheetId="2">Berechnung!$N$153</definedName>
    <definedName name="rF1.SafetyFactorDeadLoad" localSheetId="3">'Beispiel 1'!$H$70</definedName>
    <definedName name="rF1.SafetyFactorDeadLoad" localSheetId="4">'Beispiel 2'!$H$70</definedName>
    <definedName name="rF1.SafetyFactorDeadLoad" localSheetId="5">'Beispiel 3'!$H$70</definedName>
    <definedName name="rF1.SafetyFactorDeadLoad" localSheetId="2">Berechnung!$H$70</definedName>
    <definedName name="rF1.SafetyFactorDeadLoadList" localSheetId="3">IF('Beispiel 1'!rF1.CheckAxForceCalculation,rD4.SafetyFactorDeadLoadList,rP2.OutputNoInput)</definedName>
    <definedName name="rF1.SafetyFactorDeadLoadList" localSheetId="4">IF('Beispiel 2'!rF1.CheckAxForceCalculation,rD4.SafetyFactorDeadLoadList,rP2.OutputNoInput)</definedName>
    <definedName name="rF1.SafetyFactorDeadLoadList" localSheetId="5">IF('Beispiel 3'!rF1.CheckAxForceCalculation,rD4.SafetyFactorDeadLoadList,rP2.OutputNoInput)</definedName>
    <definedName name="rF1.SafetyFactorDeadLoadList" localSheetId="2">IF(Berechnung!rF1.CheckAxForceCalculation,rD4.SafetyFactorDeadLoadList,rP2.OutputNoInput)</definedName>
    <definedName name="rF1.SafetyFactorDeadLoadSelection" localSheetId="3">'Beispiel 1'!$P$17</definedName>
    <definedName name="rF1.SafetyFactorDeadLoadSelection" localSheetId="4">'Beispiel 2'!$P$17</definedName>
    <definedName name="rF1.SafetyFactorDeadLoadSelection" localSheetId="5">'Beispiel 3'!$P$17</definedName>
    <definedName name="rF1.SafetyFactorDeadLoadSelection" localSheetId="2">Berechnung!$P$17</definedName>
    <definedName name="rF1.SafetyFactorMaterial02" localSheetId="3">'Beispiel 1'!$N$141</definedName>
    <definedName name="rF1.SafetyFactorMaterial02" localSheetId="4">'Beispiel 2'!$N$141</definedName>
    <definedName name="rF1.SafetyFactorMaterial02" localSheetId="5">'Beispiel 3'!$N$141</definedName>
    <definedName name="rF1.SafetyFactorMaterial02" localSheetId="2">Berechnung!$N$141</definedName>
    <definedName name="rF1.Slab03List" localSheetId="3">IF('Beispiel 1'!rF1.CheckWoodenSlab01,rL1.SlabWoodenList,rL1.Slab03List)</definedName>
    <definedName name="rF1.Slab03List" localSheetId="4">IF('Beispiel 2'!rF1.CheckWoodenSlab01,rL1.SlabWoodenList,rL1.Slab03List)</definedName>
    <definedName name="rF1.Slab03List" localSheetId="5">IF('Beispiel 3'!rF1.CheckWoodenSlab01,rL1.SlabWoodenList,rL1.Slab03List)</definedName>
    <definedName name="rF1.Slab03List" localSheetId="2">IF(Berechnung!rF1.CheckWoodenSlab01,rL1.SlabWoodenList,rL1.Slab03List)</definedName>
    <definedName name="rF1.Slab04List" localSheetId="3">IF('Beispiel 1'!rF1.CheckWoodenSlab02,rL1.SlabWoodenList,rL1.Slab04List)</definedName>
    <definedName name="rF1.Slab04List" localSheetId="4">IF('Beispiel 2'!rF1.CheckWoodenSlab02,rL1.SlabWoodenList,rL1.Slab04List)</definedName>
    <definedName name="rF1.Slab04List" localSheetId="5">IF('Beispiel 3'!rF1.CheckWoodenSlab02,rL1.SlabWoodenList,rL1.Slab04List)</definedName>
    <definedName name="rF1.Slab04List" localSheetId="2">IF(Berechnung!rF1.CheckWoodenSlab02,rL1.SlabWoodenList,rL1.Slab04List)</definedName>
    <definedName name="rF1.SlabBearingForce02" localSheetId="3">'Beispiel 1'!$E$205</definedName>
    <definedName name="rF1.SlabBearingForce02" localSheetId="4">'Beispiel 2'!$E$205</definedName>
    <definedName name="rF1.SlabBearingForce02" localSheetId="5">'Beispiel 3'!$E$205</definedName>
    <definedName name="rF1.SlabBearingForce02" localSheetId="2">Berechnung!$E$205</definedName>
    <definedName name="rF1.SlabBearingForce04" localSheetId="3">'Beispiel 1'!$F$205</definedName>
    <definedName name="rF1.SlabBearingForce04" localSheetId="4">'Beispiel 2'!$F$205</definedName>
    <definedName name="rF1.SlabBearingForce04" localSheetId="5">'Beispiel 3'!$F$205</definedName>
    <definedName name="rF1.SlabBearingForce04" localSheetId="2">Berechnung!$F$205</definedName>
    <definedName name="rF1.SlabBearingList01" localSheetId="3">IF(OR('Beispiel 1'!rF1.CheckWoodenSlab01,'Beispiel 1'!rF1.CheckBasePlate),rP2.OutputNoInput,rL1.SlabBearingList)</definedName>
    <definedName name="rF1.SlabBearingList01" localSheetId="4">IF(OR('Beispiel 2'!rF1.CheckWoodenSlab01,'Beispiel 2'!rF1.CheckBasePlate),rP2.OutputNoInput,rL1.SlabBearingList)</definedName>
    <definedName name="rF1.SlabBearingList01" localSheetId="5">IF(OR('Beispiel 3'!rF1.CheckWoodenSlab01,'Beispiel 3'!rF1.CheckBasePlate),rP2.OutputNoInput,rL1.SlabBearingList)</definedName>
    <definedName name="rF1.SlabBearingList01" localSheetId="2">IF(OR(Berechnung!rF1.CheckWoodenSlab01,Berechnung!rF1.CheckBasePlate),rP2.OutputNoInput,rL1.SlabBearingList)</definedName>
    <definedName name="rF1.SlabBearingList02" localSheetId="3">IF('Beispiel 1'!rF1.CheckWoodenSlab02,rP2.OutputNoInput,rL1.SlabBearingList)</definedName>
    <definedName name="rF1.SlabBearingList02" localSheetId="4">IF('Beispiel 2'!rF1.CheckWoodenSlab02,rP2.OutputNoInput,rL1.SlabBearingList)</definedName>
    <definedName name="rF1.SlabBearingList02" localSheetId="5">IF('Beispiel 3'!rF1.CheckWoodenSlab02,rP2.OutputNoInput,rL1.SlabBearingList)</definedName>
    <definedName name="rF1.SlabBearingList02" localSheetId="2">IF(Berechnung!rF1.CheckWoodenSlab02,rP2.OutputNoInput,rL1.SlabBearingList)</definedName>
    <definedName name="rF1.SlabBearingList03" localSheetId="3">IF(OR('Beispiel 1'!rF1.CheckWoodenSlab03,'Beispiel 1'!rF1.CheckBasePlate,INDEX('Beispiel 1'!rF1.SlabType,1,3)=rP1.CheckWordCantilever,'Beispiel 1'!rF1.CheckSlabExisting03=0),rP2.OutputNoInput,rL1.SlabBearingList)</definedName>
    <definedName name="rF1.SlabBearingList03" localSheetId="4">IF(OR('Beispiel 2'!rF1.CheckWoodenSlab03,'Beispiel 2'!rF1.CheckBasePlate,INDEX('Beispiel 2'!rF1.SlabType,1,3)=rP1.CheckWordCantilever,'Beispiel 2'!rF1.CheckSlabExisting03=0),rP2.OutputNoInput,rL1.SlabBearingList)</definedName>
    <definedName name="rF1.SlabBearingList03" localSheetId="5">IF(OR('Beispiel 3'!rF1.CheckWoodenSlab03,'Beispiel 3'!rF1.CheckBasePlate,INDEX('Beispiel 3'!rF1.SlabType,1,3)=rP1.CheckWordCantilever,'Beispiel 3'!rF1.CheckSlabExisting03=0),rP2.OutputNoInput,rL1.SlabBearingList)</definedName>
    <definedName name="rF1.SlabBearingList03" localSheetId="2">IF(OR(Berechnung!rF1.CheckWoodenSlab03,Berechnung!rF1.CheckBasePlate,INDEX(Berechnung!rF1.SlabType,1,3)=rP1.CheckWordCantilever,Berechnung!rF1.CheckSlabExisting03=0),rP2.OutputNoInput,rL1.SlabBearingList)</definedName>
    <definedName name="rF1.SlabBearingList04" localSheetId="3">IF(OR('Beispiel 1'!rF1.CheckWoodenSlab04,INDEX('Beispiel 1'!rF1.SlabType,1,4)=rP1.CheckWordCantilever,'Beispiel 1'!rF1.CheckSlabExisting04=0),rP2.OutputNoInput,rL1.SlabBearingList)</definedName>
    <definedName name="rF1.SlabBearingList04" localSheetId="4">IF(OR('Beispiel 2'!rF1.CheckWoodenSlab04,INDEX('Beispiel 2'!rF1.SlabType,1,4)=rP1.CheckWordCantilever,'Beispiel 2'!rF1.CheckSlabExisting04=0),rP2.OutputNoInput,rL1.SlabBearingList)</definedName>
    <definedName name="rF1.SlabBearingList04" localSheetId="5">IF(OR('Beispiel 3'!rF1.CheckWoodenSlab04,INDEX('Beispiel 3'!rF1.SlabType,1,4)=rP1.CheckWordCantilever,'Beispiel 3'!rF1.CheckSlabExisting04=0),rP2.OutputNoInput,rL1.SlabBearingList)</definedName>
    <definedName name="rF1.SlabBearingList04" localSheetId="2">IF(OR(Berechnung!rF1.CheckWoodenSlab04,INDEX(Berechnung!rF1.SlabType,1,4)=rP1.CheckWordCantilever,Berechnung!rF1.CheckSlabExisting04=0),rP2.OutputNoInput,rL1.SlabBearingList)</definedName>
    <definedName name="rF1.SlabBearingSelection" localSheetId="3">'Beispiel 1'!$M$11:$P$11</definedName>
    <definedName name="rF1.SlabBearingSelection" localSheetId="4">'Beispiel 2'!$M$11:$P$11</definedName>
    <definedName name="rF1.SlabBearingSelection" localSheetId="5">'Beispiel 3'!$M$11:$P$11</definedName>
    <definedName name="rF1.SlabBearingSelection" localSheetId="2">Berechnung!$M$11:$P$11</definedName>
    <definedName name="rF1.SlabBearingSelection01" localSheetId="3">'Beispiel 1'!$M$11</definedName>
    <definedName name="rF1.SlabBearingSelection01" localSheetId="4">'Beispiel 2'!$M$11</definedName>
    <definedName name="rF1.SlabBearingSelection01" localSheetId="5">'Beispiel 3'!$M$11</definedName>
    <definedName name="rF1.SlabBearingSelection01" localSheetId="2">Berechnung!$M$11</definedName>
    <definedName name="rF1.SlabBearingSelection02" localSheetId="3">'Beispiel 1'!$N$11</definedName>
    <definedName name="rF1.SlabBearingSelection02" localSheetId="4">'Beispiel 2'!$N$11</definedName>
    <definedName name="rF1.SlabBearingSelection02" localSheetId="5">'Beispiel 3'!$N$11</definedName>
    <definedName name="rF1.SlabBearingSelection02" localSheetId="2">Berechnung!$N$11</definedName>
    <definedName name="rF1.SlabBearingSelection03" localSheetId="3">'Beispiel 1'!$O$11</definedName>
    <definedName name="rF1.SlabBearingSelection03" localSheetId="4">'Beispiel 2'!$O$11</definedName>
    <definedName name="rF1.SlabBearingSelection03" localSheetId="5">'Beispiel 3'!$O$11</definedName>
    <definedName name="rF1.SlabBearingSelection03" localSheetId="2">Berechnung!$O$11</definedName>
    <definedName name="rF1.SlabBearingSelection04" localSheetId="3">'Beispiel 1'!$P$11</definedName>
    <definedName name="rF1.SlabBearingSelection04" localSheetId="4">'Beispiel 2'!$P$11</definedName>
    <definedName name="rF1.SlabBearingSelection04" localSheetId="5">'Beispiel 3'!$P$11</definedName>
    <definedName name="rF1.SlabBearingSelection04" localSheetId="2">Berechnung!$P$11</definedName>
    <definedName name="rF1.SlabBearingType" localSheetId="3">'Beispiel 1'!$M$173:$P$173</definedName>
    <definedName name="rF1.SlabBearingType" localSheetId="4">'Beispiel 2'!$M$173:$P$173</definedName>
    <definedName name="rF1.SlabBearingType" localSheetId="5">'Beispiel 3'!$M$173:$P$173</definedName>
    <definedName name="rF1.SlabBearingType" localSheetId="2">Berechnung!$M$173:$P$173</definedName>
    <definedName name="rF1.SlabInfluenceWidth" localSheetId="3">'Beispiel 1'!$M$53:$P$53</definedName>
    <definedName name="rF1.SlabInfluenceWidth" localSheetId="4">'Beispiel 2'!$M$53:$P$53</definedName>
    <definedName name="rF1.SlabInfluenceWidth" localSheetId="5">'Beispiel 3'!$M$53:$P$53</definedName>
    <definedName name="rF1.SlabInfluenceWidth" localSheetId="2">Berechnung!$M$53:$P$53</definedName>
    <definedName name="rF1.SlabSpanDecisive" localSheetId="3">'Beispiel 1'!$M$184:$P$184</definedName>
    <definedName name="rF1.SlabSpanDecisive" localSheetId="4">'Beispiel 2'!$M$184:$P$184</definedName>
    <definedName name="rF1.SlabSpanDecisive" localSheetId="5">'Beispiel 3'!$M$184:$P$184</definedName>
    <definedName name="rF1.SlabSpanDecisive" localSheetId="2">Berechnung!$M$184:$P$184</definedName>
    <definedName name="rF1.SlabSpanParallel" localSheetId="3">'Beispiel 1'!$M$52:$P$52</definedName>
    <definedName name="rF1.SlabSpanParallel" localSheetId="4">'Beispiel 2'!$M$52:$P$52</definedName>
    <definedName name="rF1.SlabSpanParallel" localSheetId="5">'Beispiel 3'!$M$52:$P$52</definedName>
    <definedName name="rF1.SlabSpanParallel" localSheetId="2">Berechnung!$M$52:$P$52</definedName>
    <definedName name="rF1.SlabSpanPerpendicular" localSheetId="3">'Beispiel 1'!$M$51:$P$51</definedName>
    <definedName name="rF1.SlabSpanPerpendicular" localSheetId="4">'Beispiel 2'!$M$51:$P$51</definedName>
    <definedName name="rF1.SlabSpanPerpendicular" localSheetId="5">'Beispiel 3'!$M$51:$P$51</definedName>
    <definedName name="rF1.SlabSpanPerpendicular" localSheetId="2">Berechnung!$M$51:$P$51</definedName>
    <definedName name="rF1.SlabStiffness01" localSheetId="3">'Beispiel 1'!$M$183</definedName>
    <definedName name="rF1.SlabStiffness01" localSheetId="4">'Beispiel 2'!$M$183</definedName>
    <definedName name="rF1.SlabStiffness01" localSheetId="5">'Beispiel 3'!$M$183</definedName>
    <definedName name="rF1.SlabStiffness01" localSheetId="2">Berechnung!$M$183</definedName>
    <definedName name="rF1.SlabStiffness02" localSheetId="3">'Beispiel 1'!$N$183</definedName>
    <definedName name="rF1.SlabStiffness02" localSheetId="4">'Beispiel 2'!$N$183</definedName>
    <definedName name="rF1.SlabStiffness02" localSheetId="5">'Beispiel 3'!$N$183</definedName>
    <definedName name="rF1.SlabStiffness02" localSheetId="2">Berechnung!$N$183</definedName>
    <definedName name="rF1.SlabStiffness03" localSheetId="3">'Beispiel 1'!$O$183</definedName>
    <definedName name="rF1.SlabStiffness03" localSheetId="4">'Beispiel 2'!$O$183</definedName>
    <definedName name="rF1.SlabStiffness03" localSheetId="5">'Beispiel 3'!$O$183</definedName>
    <definedName name="rF1.SlabStiffness03" localSheetId="2">Berechnung!$O$183</definedName>
    <definedName name="rF1.SlabStiffness04" localSheetId="3">'Beispiel 1'!$P$183</definedName>
    <definedName name="rF1.SlabStiffness04" localSheetId="4">'Beispiel 2'!$P$183</definedName>
    <definedName name="rF1.SlabStiffness04" localSheetId="5">'Beispiel 3'!$P$183</definedName>
    <definedName name="rF1.SlabStiffness04" localSheetId="2">Berechnung!$P$183</definedName>
    <definedName name="rF1.SlabStiffnessBearing" localSheetId="3">'Beispiel 1'!$M$174:$P$174</definedName>
    <definedName name="rF1.SlabStiffnessBearing" localSheetId="4">'Beispiel 2'!$M$174:$P$174</definedName>
    <definedName name="rF1.SlabStiffnessBearing" localSheetId="5">'Beispiel 3'!$M$174:$P$174</definedName>
    <definedName name="rF1.SlabStiffnessBearing" localSheetId="2">Berechnung!$M$174:$P$174</definedName>
    <definedName name="rF1.SlabStiffnessType" localSheetId="3">'Beispiel 1'!$M$175:$P$175</definedName>
    <definedName name="rF1.SlabStiffnessType" localSheetId="4">'Beispiel 2'!$M$175:$P$175</definedName>
    <definedName name="rF1.SlabStiffnessType" localSheetId="5">'Beispiel 3'!$M$175:$P$175</definedName>
    <definedName name="rF1.SlabStiffnessType" localSheetId="2">Berechnung!$M$175:$P$175</definedName>
    <definedName name="rF1.SlabThickness" localSheetId="3">'Beispiel 1'!$M$54:$P$54</definedName>
    <definedName name="rF1.SlabThickness" localSheetId="4">'Beispiel 2'!$M$54:$P$54</definedName>
    <definedName name="rF1.SlabThickness" localSheetId="5">'Beispiel 3'!$M$54:$P$54</definedName>
    <definedName name="rF1.SlabThickness" localSheetId="2">Berechnung!$M$54:$P$54</definedName>
    <definedName name="rF1.SlabType" localSheetId="3">'Beispiel 1'!$M$172:$P$172</definedName>
    <definedName name="rF1.SlabType" localSheetId="4">'Beispiel 2'!$M$172:$P$172</definedName>
    <definedName name="rF1.SlabType" localSheetId="5">'Beispiel 3'!$M$172:$P$172</definedName>
    <definedName name="rF1.SlabType" localSheetId="2">Berechnung!$M$172:$P$172</definedName>
    <definedName name="rF1.SlabTypeSelection" localSheetId="3">'Beispiel 1'!$M$10:$P$10</definedName>
    <definedName name="rF1.SlabTypeSelection" localSheetId="4">'Beispiel 2'!$M$10:$P$10</definedName>
    <definedName name="rF1.SlabTypeSelection" localSheetId="5">'Beispiel 3'!$M$10:$P$10</definedName>
    <definedName name="rF1.SlabTypeSelection" localSheetId="2">Berechnung!$M$10:$P$10</definedName>
    <definedName name="rF1.SlabTypeSelection01" localSheetId="3">'Beispiel 1'!$M$10</definedName>
    <definedName name="rF1.SlabTypeSelection01" localSheetId="4">'Beispiel 2'!$M$10</definedName>
    <definedName name="rF1.SlabTypeSelection01" localSheetId="5">'Beispiel 3'!$M$10</definedName>
    <definedName name="rF1.SlabTypeSelection01" localSheetId="2">Berechnung!$M$10</definedName>
    <definedName name="rF1.SlabTypeSelection02" localSheetId="3">'Beispiel 1'!$N$10</definedName>
    <definedName name="rF1.SlabTypeSelection02" localSheetId="4">'Beispiel 2'!$N$10</definedName>
    <definedName name="rF1.SlabTypeSelection02" localSheetId="5">'Beispiel 3'!$N$10</definedName>
    <definedName name="rF1.SlabTypeSelection02" localSheetId="2">Berechnung!$N$10</definedName>
    <definedName name="rF1.SlabTypeSelection03" localSheetId="3">'Beispiel 1'!$O$10</definedName>
    <definedName name="rF1.SlabTypeSelection03" localSheetId="4">'Beispiel 2'!$O$10</definedName>
    <definedName name="rF1.SlabTypeSelection03" localSheetId="5">'Beispiel 3'!$O$10</definedName>
    <definedName name="rF1.SlabTypeSelection03" localSheetId="2">Berechnung!$O$10</definedName>
    <definedName name="rF1.SlabTypeSelection04" localSheetId="3">'Beispiel 1'!$P$10</definedName>
    <definedName name="rF1.SlabTypeSelection04" localSheetId="4">'Beispiel 2'!$P$10</definedName>
    <definedName name="rF1.SlabTypeSelection04" localSheetId="5">'Beispiel 3'!$P$10</definedName>
    <definedName name="rF1.SlabTypeSelection04" localSheetId="2">Berechnung!$P$10</definedName>
    <definedName name="rF1.TotalLoadDesign" localSheetId="3">'Beispiel 1'!$M$190:$P$190</definedName>
    <definedName name="rF1.TotalLoadDesign" localSheetId="4">'Beispiel 2'!$M$190:$P$190</definedName>
    <definedName name="rF1.TotalLoadDesign" localSheetId="5">'Beispiel 3'!$M$190:$P$190</definedName>
    <definedName name="rF1.TotalLoadDesign" localSheetId="2">Berechnung!$M$190:$P$190</definedName>
    <definedName name="rF1.WallArea" localSheetId="3">'Beispiel 1'!$M$146:$O$146</definedName>
    <definedName name="rF1.WallArea" localSheetId="4">'Beispiel 2'!$M$146:$O$146</definedName>
    <definedName name="rF1.WallArea" localSheetId="5">'Beispiel 3'!$M$146:$O$146</definedName>
    <definedName name="rF1.WallArea" localSheetId="2">Berechnung!$M$146:$O$146</definedName>
    <definedName name="rF1.WallAxForceBottom" localSheetId="3">'Beispiel 1'!$P$69</definedName>
    <definedName name="rF1.WallAxForceBottom" localSheetId="4">'Beispiel 2'!$P$69</definedName>
    <definedName name="rF1.WallAxForceBottom" localSheetId="5">'Beispiel 3'!$P$69</definedName>
    <definedName name="rF1.WallAxForceBottom" localSheetId="2">Berechnung!$P$69</definedName>
    <definedName name="rF1.WallAxForceDeadBottom" localSheetId="3">IF('Beispiel 1'!rF1.CheckAxForceCalculation,'Beispiel 1'!rF1.WallAxForceDeadCalcBottom,'Beispiel 1'!rF1.WallAxForceDeadBottomInput)</definedName>
    <definedName name="rF1.WallAxForceDeadBottom" localSheetId="4">IF('Beispiel 2'!rF1.CheckAxForceCalculation,'Beispiel 2'!rF1.WallAxForceDeadCalcBottom,'Beispiel 2'!rF1.WallAxForceDeadBottomInput)</definedName>
    <definedName name="rF1.WallAxForceDeadBottom" localSheetId="5">IF('Beispiel 3'!rF1.CheckAxForceCalculation,'Beispiel 3'!rF1.WallAxForceDeadCalcBottom,'Beispiel 3'!rF1.WallAxForceDeadBottomInput)</definedName>
    <definedName name="rF1.WallAxForceDeadBottom" localSheetId="2">IF(Berechnung!rF1.CheckAxForceCalculation,Berechnung!rF1.WallAxForceDeadCalcBottom,Berechnung!rF1.WallAxForceDeadBottomInput)</definedName>
    <definedName name="rF1.WallAxForceDeadBottomInput" localSheetId="3">'Beispiel 1'!$M$69</definedName>
    <definedName name="rF1.WallAxForceDeadBottomInput" localSheetId="4">'Beispiel 2'!$M$69</definedName>
    <definedName name="rF1.WallAxForceDeadBottomInput" localSheetId="5">'Beispiel 3'!$M$69</definedName>
    <definedName name="rF1.WallAxForceDeadBottomInput" localSheetId="2">Berechnung!$M$69</definedName>
    <definedName name="rF1.WallAxForceDeadCalcBottom" localSheetId="3">'Beispiel 1'!$O$69</definedName>
    <definedName name="rF1.WallAxForceDeadCalcBottom" localSheetId="4">'Beispiel 2'!$O$69</definedName>
    <definedName name="rF1.WallAxForceDeadCalcBottom" localSheetId="5">'Beispiel 3'!$O$69</definedName>
    <definedName name="rF1.WallAxForceDeadCalcBottom" localSheetId="2">Berechnung!$O$69</definedName>
    <definedName name="rF1.WallAxForceDeadCalcMiddle" localSheetId="3">'Beispiel 1'!$O$68</definedName>
    <definedName name="rF1.WallAxForceDeadCalcMiddle" localSheetId="4">'Beispiel 2'!$O$68</definedName>
    <definedName name="rF1.WallAxForceDeadCalcMiddle" localSheetId="5">'Beispiel 3'!$O$68</definedName>
    <definedName name="rF1.WallAxForceDeadCalcMiddle" localSheetId="2">Berechnung!$O$68</definedName>
    <definedName name="rF1.WallAxForceDeadMiddle" localSheetId="3">IF('Beispiel 1'!rF1.CheckAxForceCalculation,'Beispiel 1'!rF1.WallAxForceDeadCalcMiddle,'Beispiel 1'!rF1.WallAxForceDeadMiddleInput)</definedName>
    <definedName name="rF1.WallAxForceDeadMiddle" localSheetId="4">IF('Beispiel 2'!rF1.CheckAxForceCalculation,'Beispiel 2'!rF1.WallAxForceDeadCalcMiddle,'Beispiel 2'!rF1.WallAxForceDeadMiddleInput)</definedName>
    <definedName name="rF1.WallAxForceDeadMiddle" localSheetId="5">IF('Beispiel 3'!rF1.CheckAxForceCalculation,'Beispiel 3'!rF1.WallAxForceDeadCalcMiddle,'Beispiel 3'!rF1.WallAxForceDeadMiddleInput)</definedName>
    <definedName name="rF1.WallAxForceDeadMiddle" localSheetId="2">IF(Berechnung!rF1.CheckAxForceCalculation,Berechnung!rF1.WallAxForceDeadCalcMiddle,Berechnung!rF1.WallAxForceDeadMiddleInput)</definedName>
    <definedName name="rF1.WallAxForceDeadMiddleInput" localSheetId="3">'Beispiel 1'!$M$68</definedName>
    <definedName name="rF1.WallAxForceDeadMiddleInput" localSheetId="4">'Beispiel 2'!$M$68</definedName>
    <definedName name="rF1.WallAxForceDeadMiddleInput" localSheetId="5">'Beispiel 3'!$M$68</definedName>
    <definedName name="rF1.WallAxForceDeadMiddleInput" localSheetId="2">Berechnung!$M$68</definedName>
    <definedName name="rF1.WallAxForceDeadTop" localSheetId="3">'Beispiel 1'!$M$67</definedName>
    <definedName name="rF1.WallAxForceDeadTop" localSheetId="4">'Beispiel 2'!$M$67</definedName>
    <definedName name="rF1.WallAxForceDeadTop" localSheetId="5">'Beispiel 3'!$M$67</definedName>
    <definedName name="rF1.WallAxForceDeadTop" localSheetId="2">Berechnung!$M$67</definedName>
    <definedName name="rF1.WallAxForceLiveBottom" localSheetId="3">IF('Beispiel 1'!rF1.CheckAxForceCalculation,'Beispiel 1'!rF1.WallAxForceLiveTop,'Beispiel 1'!rF1.WallAxForceLiveBottomInput)</definedName>
    <definedName name="rF1.WallAxForceLiveBottom" localSheetId="4">IF('Beispiel 2'!rF1.CheckAxForceCalculation,'Beispiel 2'!rF1.WallAxForceLiveTop,'Beispiel 2'!rF1.WallAxForceLiveBottomInput)</definedName>
    <definedName name="rF1.WallAxForceLiveBottom" localSheetId="5">IF('Beispiel 3'!rF1.CheckAxForceCalculation,'Beispiel 3'!rF1.WallAxForceLiveTop,'Beispiel 3'!rF1.WallAxForceLiveBottomInput)</definedName>
    <definedName name="rF1.WallAxForceLiveBottom" localSheetId="2">IF(Berechnung!rF1.CheckAxForceCalculation,Berechnung!rF1.WallAxForceLiveTop,Berechnung!rF1.WallAxForceLiveBottomInput)</definedName>
    <definedName name="rF1.WallAxForceLiveBottomInput" localSheetId="3">'Beispiel 1'!$N$69</definedName>
    <definedName name="rF1.WallAxForceLiveBottomInput" localSheetId="4">'Beispiel 2'!$N$69</definedName>
    <definedName name="rF1.WallAxForceLiveBottomInput" localSheetId="5">'Beispiel 3'!$N$69</definedName>
    <definedName name="rF1.WallAxForceLiveBottomInput" localSheetId="2">Berechnung!$N$69</definedName>
    <definedName name="rF1.WallAxForceLiveMiddle" localSheetId="3">IF('Beispiel 1'!rF1.CheckAxForceCalculation,'Beispiel 1'!rF1.WallAxForceLiveTop,'Beispiel 1'!rF1.WallAxForceLiveMiddleInput)</definedName>
    <definedName name="rF1.WallAxForceLiveMiddle" localSheetId="4">IF('Beispiel 2'!rF1.CheckAxForceCalculation,'Beispiel 2'!rF1.WallAxForceLiveTop,'Beispiel 2'!rF1.WallAxForceLiveMiddleInput)</definedName>
    <definedName name="rF1.WallAxForceLiveMiddle" localSheetId="5">IF('Beispiel 3'!rF1.CheckAxForceCalculation,'Beispiel 3'!rF1.WallAxForceLiveTop,'Beispiel 3'!rF1.WallAxForceLiveMiddleInput)</definedName>
    <definedName name="rF1.WallAxForceLiveMiddle" localSheetId="2">IF(Berechnung!rF1.CheckAxForceCalculation,Berechnung!rF1.WallAxForceLiveTop,Berechnung!rF1.WallAxForceLiveMiddleInput)</definedName>
    <definedName name="rF1.WallAxForceLiveMiddleInput" localSheetId="3">'Beispiel 1'!$N$68</definedName>
    <definedName name="rF1.WallAxForceLiveMiddleInput" localSheetId="4">'Beispiel 2'!$N$68</definedName>
    <definedName name="rF1.WallAxForceLiveMiddleInput" localSheetId="5">'Beispiel 3'!$N$68</definedName>
    <definedName name="rF1.WallAxForceLiveMiddleInput" localSheetId="2">Berechnung!$N$68</definedName>
    <definedName name="rF1.WallAxForceLiveTop" localSheetId="3">'Beispiel 1'!$N$67</definedName>
    <definedName name="rF1.WallAxForceLiveTop" localSheetId="4">'Beispiel 2'!$N$67</definedName>
    <definedName name="rF1.WallAxForceLiveTop" localSheetId="5">'Beispiel 3'!$N$67</definedName>
    <definedName name="rF1.WallAxForceLiveTop" localSheetId="2">Berechnung!$N$67</definedName>
    <definedName name="rF1.WallAxForceMiddle" localSheetId="3">'Beispiel 1'!$P$68</definedName>
    <definedName name="rF1.WallAxForceMiddle" localSheetId="4">'Beispiel 2'!$P$68</definedName>
    <definedName name="rF1.WallAxForceMiddle" localSheetId="5">'Beispiel 3'!$P$68</definedName>
    <definedName name="rF1.WallAxForceMiddle" localSheetId="2">Berechnung!$P$68</definedName>
    <definedName name="rF1.WallAxForceTop" localSheetId="3">'Beispiel 1'!$P$67</definedName>
    <definedName name="rF1.WallAxForceTop" localSheetId="4">'Beispiel 2'!$P$67</definedName>
    <definedName name="rF1.WallAxForceTop" localSheetId="5">'Beispiel 3'!$P$67</definedName>
    <definedName name="rF1.WallAxForceTop" localSheetId="2">Berechnung!$P$67</definedName>
    <definedName name="rF1.WallBearingBottom" localSheetId="3">'Beispiel 1'!$M$162:$O$162</definedName>
    <definedName name="rF1.WallBearingBottom" localSheetId="4">'Beispiel 2'!$M$162:$O$162</definedName>
    <definedName name="rF1.WallBearingBottom" localSheetId="5">'Beispiel 3'!$M$162:$O$162</definedName>
    <definedName name="rF1.WallBearingBottom" localSheetId="2">Berechnung!$M$162:$O$162</definedName>
    <definedName name="rF1.WallBearingBottomSelection" localSheetId="3">'Beispiel 1'!$M$7:$O$7</definedName>
    <definedName name="rF1.WallBearingBottomSelection" localSheetId="4">'Beispiel 2'!$M$7:$O$7</definedName>
    <definedName name="rF1.WallBearingBottomSelection" localSheetId="5">'Beispiel 3'!$M$7:$O$7</definedName>
    <definedName name="rF1.WallBearingBottomSelection" localSheetId="2">Berechnung!$M$7:$O$7</definedName>
    <definedName name="rF1.WallBearingBottomSelection01" localSheetId="3">'Beispiel 1'!$M$7</definedName>
    <definedName name="rF1.WallBearingBottomSelection01" localSheetId="4">'Beispiel 2'!$M$7</definedName>
    <definedName name="rF1.WallBearingBottomSelection01" localSheetId="5">'Beispiel 3'!$M$7</definedName>
    <definedName name="rF1.WallBearingBottomSelection01" localSheetId="2">Berechnung!$M$7</definedName>
    <definedName name="rF1.WallBearingBottomSelection02" localSheetId="3">'Beispiel 1'!$N$7</definedName>
    <definedName name="rF1.WallBearingBottomSelection02" localSheetId="4">'Beispiel 2'!$N$7</definedName>
    <definedName name="rF1.WallBearingBottomSelection02" localSheetId="5">'Beispiel 3'!$N$7</definedName>
    <definedName name="rF1.WallBearingBottomSelection02" localSheetId="2">Berechnung!$N$7</definedName>
    <definedName name="rF1.WallBearingBottomSelection03" localSheetId="3">'Beispiel 1'!$O$7</definedName>
    <definedName name="rF1.WallBearingBottomSelection03" localSheetId="4">'Beispiel 2'!$O$7</definedName>
    <definedName name="rF1.WallBearingBottomSelection03" localSheetId="5">'Beispiel 3'!$O$7</definedName>
    <definedName name="rF1.WallBearingBottomSelection03" localSheetId="2">Berechnung!$O$7</definedName>
    <definedName name="rF1.WallBearingList03" localSheetId="3">IF('Beispiel 1'!rF1.CheckWallNotExisting=1,rP2.OutputNoInput,rL1.Wall03List)</definedName>
    <definedName name="rF1.WallBearingList03" localSheetId="4">IF('Beispiel 2'!rF1.CheckWallNotExisting=1,rP2.OutputNoInput,rL1.Wall03List)</definedName>
    <definedName name="rF1.WallBearingList03" localSheetId="5">IF('Beispiel 3'!rF1.CheckWallNotExisting=1,rP2.OutputNoInput,rL1.Wall03List)</definedName>
    <definedName name="rF1.WallBearingList03" localSheetId="2">IF(Berechnung!rF1.CheckWallNotExisting=1,rP2.OutputNoInput,rL1.Wall03List)</definedName>
    <definedName name="rF1.WallBearingTop" localSheetId="3">'Beispiel 1'!$M$161:$O$161</definedName>
    <definedName name="rF1.WallBearingTop" localSheetId="4">'Beispiel 2'!$M$161:$O$161</definedName>
    <definedName name="rF1.WallBearingTop" localSheetId="5">'Beispiel 3'!$M$161:$O$161</definedName>
    <definedName name="rF1.WallBearingTop" localSheetId="2">Berechnung!$M$161:$O$161</definedName>
    <definedName name="rF1.WallBearingTopSelection" localSheetId="3">'Beispiel 1'!$M$6:$O$6</definedName>
    <definedName name="rF1.WallBearingTopSelection" localSheetId="4">'Beispiel 2'!$M$6:$O$6</definedName>
    <definedName name="rF1.WallBearingTopSelection" localSheetId="5">'Beispiel 3'!$M$6:$O$6</definedName>
    <definedName name="rF1.WallBearingTopSelection" localSheetId="2">Berechnung!$M$6:$O$6</definedName>
    <definedName name="rF1.WallBearingTopSelection01" localSheetId="3">'Beispiel 1'!$M$6</definedName>
    <definedName name="rF1.WallBearingTopSelection01" localSheetId="4">'Beispiel 2'!$M$6</definedName>
    <definedName name="rF1.WallBearingTopSelection01" localSheetId="5">'Beispiel 3'!$M$6</definedName>
    <definedName name="rF1.WallBearingTopSelection01" localSheetId="2">Berechnung!$M$6</definedName>
    <definedName name="rF1.WallBearingTopSelection02" localSheetId="3">'Beispiel 1'!$N$6</definedName>
    <definedName name="rF1.WallBearingTopSelection02" localSheetId="4">'Beispiel 2'!$N$6</definedName>
    <definedName name="rF1.WallBearingTopSelection02" localSheetId="5">'Beispiel 3'!$N$6</definedName>
    <definedName name="rF1.WallBearingTopSelection02" localSheetId="2">Berechnung!$N$6</definedName>
    <definedName name="rF1.WallBearingTopSelection03" localSheetId="3">'Beispiel 1'!$O$6</definedName>
    <definedName name="rF1.WallBearingTopSelection03" localSheetId="4">'Beispiel 2'!$O$6</definedName>
    <definedName name="rF1.WallBearingTopSelection03" localSheetId="5">'Beispiel 3'!$O$6</definedName>
    <definedName name="rF1.WallBearingTopSelection03" localSheetId="2">Berechnung!$O$6</definedName>
    <definedName name="rF1.WallHeight" localSheetId="3">'Beispiel 1'!$M$35:$O$35</definedName>
    <definedName name="rF1.WallHeight" localSheetId="4">'Beispiel 2'!$M$35:$O$35</definedName>
    <definedName name="rF1.WallHeight" localSheetId="5">'Beispiel 3'!$M$35:$O$35</definedName>
    <definedName name="rF1.WallHeight" localSheetId="2">Berechnung!$M$35:$O$35</definedName>
    <definedName name="rF1.WallHeight02" localSheetId="3">'Beispiel 1'!$N$35</definedName>
    <definedName name="rF1.WallHeight02" localSheetId="4">'Beispiel 2'!$N$35</definedName>
    <definedName name="rF1.WallHeight02" localSheetId="5">'Beispiel 3'!$N$35</definedName>
    <definedName name="rF1.WallHeight02" localSheetId="2">Berechnung!$N$35</definedName>
    <definedName name="rF1.WallHeightBuckling" localSheetId="3">'Beispiel 1'!$M$244</definedName>
    <definedName name="rF1.WallHeightBuckling" localSheetId="4">'Beispiel 2'!$M$244</definedName>
    <definedName name="rF1.WallHeightBuckling" localSheetId="5">'Beispiel 3'!$M$244</definedName>
    <definedName name="rF1.WallHeightBuckling" localSheetId="2">Berechnung!$M$244</definedName>
    <definedName name="rF1.WallHeightEffective" localSheetId="3">'Beispiel 1'!$N$154</definedName>
    <definedName name="rF1.WallHeightEffective" localSheetId="4">'Beispiel 2'!$N$154</definedName>
    <definedName name="rF1.WallHeightEffective" localSheetId="5">'Beispiel 3'!$N$154</definedName>
    <definedName name="rF1.WallHeightEffective" localSheetId="2">Berechnung!$N$154</definedName>
    <definedName name="rF1.WallLenght" localSheetId="3">'Beispiel 1'!$M$36:$O$36</definedName>
    <definedName name="rF1.WallLenght" localSheetId="4">'Beispiel 2'!$M$36:$O$36</definedName>
    <definedName name="rF1.WallLenght" localSheetId="5">'Beispiel 3'!$M$36:$O$36</definedName>
    <definedName name="rF1.WallLenght" localSheetId="2">Berechnung!$M$36:$O$36</definedName>
    <definedName name="rF1.WallLenght02" localSheetId="3">'Beispiel 1'!$N$36</definedName>
    <definedName name="rF1.WallLenght02" localSheetId="4">'Beispiel 2'!$N$36</definedName>
    <definedName name="rF1.WallLenght02" localSheetId="5">'Beispiel 3'!$N$36</definedName>
    <definedName name="rF1.WallLenght02" localSheetId="2">Berechnung!$N$36</definedName>
    <definedName name="rF1.WallLoadDeadSlab" localSheetId="3">'Beispiel 1'!#REF!</definedName>
    <definedName name="rF1.WallLoadDeadSlab" localSheetId="4">'Beispiel 2'!#REF!</definedName>
    <definedName name="rF1.WallLoadDeadSlab" localSheetId="5">'Beispiel 3'!#REF!</definedName>
    <definedName name="rF1.WallLoadDeadSlab" localSheetId="2">Berechnung!#REF!</definedName>
    <definedName name="rF1.WallLoadDeadTop" localSheetId="3">'Beispiel 1'!#REF!</definedName>
    <definedName name="rF1.WallLoadDeadTop" localSheetId="4">'Beispiel 2'!#REF!</definedName>
    <definedName name="rF1.WallLoadDeadTop" localSheetId="5">'Beispiel 3'!#REF!</definedName>
    <definedName name="rF1.WallLoadDeadTop" localSheetId="2">Berechnung!#REF!</definedName>
    <definedName name="rF1.WallLoadLiveSlab" localSheetId="3">'Beispiel 1'!#REF!</definedName>
    <definedName name="rF1.WallLoadLiveSlab" localSheetId="4">'Beispiel 2'!#REF!</definedName>
    <definedName name="rF1.WallLoadLiveSlab" localSheetId="5">'Beispiel 3'!#REF!</definedName>
    <definedName name="rF1.WallLoadLiveSlab" localSheetId="2">Berechnung!#REF!</definedName>
    <definedName name="rF1.WallLoadLiveTop" localSheetId="3">'Beispiel 1'!#REF!</definedName>
    <definedName name="rF1.WallLoadLiveTop" localSheetId="4">'Beispiel 2'!#REF!</definedName>
    <definedName name="rF1.WallLoadLiveTop" localSheetId="5">'Beispiel 3'!#REF!</definedName>
    <definedName name="rF1.WallLoadLiveTop" localSheetId="2">Berechnung!#REF!</definedName>
    <definedName name="rF1.WallLoadSlab" localSheetId="3">'Beispiel 1'!#REF!</definedName>
    <definedName name="rF1.WallLoadSlab" localSheetId="4">'Beispiel 2'!#REF!</definedName>
    <definedName name="rF1.WallLoadSlab" localSheetId="5">'Beispiel 3'!#REF!</definedName>
    <definedName name="rF1.WallLoadSlab" localSheetId="2">Berechnung!#REF!</definedName>
    <definedName name="rF1.WallLoadTop" localSheetId="3">'Beispiel 1'!#REF!</definedName>
    <definedName name="rF1.WallLoadTop" localSheetId="4">'Beispiel 2'!#REF!</definedName>
    <definedName name="rF1.WallLoadTop" localSheetId="5">'Beispiel 3'!#REF!</definedName>
    <definedName name="rF1.WallLoadTop" localSheetId="2">Berechnung!#REF!</definedName>
    <definedName name="rF1.WallSlenderness" localSheetId="3">'Beispiel 1'!$M$170:$O$170</definedName>
    <definedName name="rF1.WallSlenderness" localSheetId="4">'Beispiel 2'!$M$170:$O$170</definedName>
    <definedName name="rF1.WallSlenderness" localSheetId="5">'Beispiel 3'!$M$170:$O$170</definedName>
    <definedName name="rF1.WallSlenderness" localSheetId="2">Berechnung!$M$170:$O$170</definedName>
    <definedName name="rF1.WallSlenderness02" localSheetId="3">'Beispiel 1'!$N$170</definedName>
    <definedName name="rF1.WallSlenderness02" localSheetId="4">'Beispiel 2'!$N$170</definedName>
    <definedName name="rF1.WallSlenderness02" localSheetId="5">'Beispiel 3'!$N$170</definedName>
    <definedName name="rF1.WallSlenderness02" localSheetId="2">Berechnung!$N$170</definedName>
    <definedName name="rF1.WallStiffnessBottom02" localSheetId="3">'Beispiel 1'!$N$169</definedName>
    <definedName name="rF1.WallStiffnessBottom02" localSheetId="4">'Beispiel 2'!$N$169</definedName>
    <definedName name="rF1.WallStiffnessBottom02" localSheetId="5">'Beispiel 3'!$N$169</definedName>
    <definedName name="rF1.WallStiffnessBottom02" localSheetId="2">Berechnung!$N$169</definedName>
    <definedName name="rF1.WallStiffnessBottom03" localSheetId="3">'Beispiel 1'!$O$169</definedName>
    <definedName name="rF1.WallStiffnessBottom03" localSheetId="4">'Beispiel 2'!$O$169</definedName>
    <definedName name="rF1.WallStiffnessBottom03" localSheetId="5">'Beispiel 3'!$O$169</definedName>
    <definedName name="rF1.WallStiffnessBottom03" localSheetId="2">Berechnung!$O$169</definedName>
    <definedName name="rF1.WallStiffnessTop01" localSheetId="3">'Beispiel 1'!$M$168</definedName>
    <definedName name="rF1.WallStiffnessTop01" localSheetId="4">'Beispiel 2'!$M$168</definedName>
    <definedName name="rF1.WallStiffnessTop01" localSheetId="5">'Beispiel 3'!$M$168</definedName>
    <definedName name="rF1.WallStiffnessTop01" localSheetId="2">Berechnung!$M$168</definedName>
    <definedName name="rF1.WallStiffnessTop02" localSheetId="3">'Beispiel 1'!$N$168</definedName>
    <definedName name="rF1.WallStiffnessTop02" localSheetId="4">'Beispiel 2'!$N$168</definedName>
    <definedName name="rF1.WallStiffnessTop02" localSheetId="5">'Beispiel 3'!$N$168</definedName>
    <definedName name="rF1.WallStiffnessTop02" localSheetId="2">Berechnung!$N$168</definedName>
    <definedName name="rF1.WallThickness" localSheetId="3">'Beispiel 1'!$M$143:$O$143</definedName>
    <definedName name="rF1.WallThickness" localSheetId="4">'Beispiel 2'!$M$143:$O$143</definedName>
    <definedName name="rF1.WallThickness" localSheetId="5">'Beispiel 3'!$M$143:$O$143</definedName>
    <definedName name="rF1.WallThickness" localSheetId="2">Berechnung!$M$143:$O$143</definedName>
    <definedName name="rF1.WallThickness02" localSheetId="3">'Beispiel 1'!$N$34</definedName>
    <definedName name="rF1.WallThickness02" localSheetId="4">'Beispiel 2'!$N$34</definedName>
    <definedName name="rF1.WallThickness02" localSheetId="5">'Beispiel 3'!$N$34</definedName>
    <definedName name="rF1.WallThickness02" localSheetId="2">Berechnung!$N$34</definedName>
    <definedName name="rF1.WallWeight" localSheetId="3">'Beispiel 1'!$M$160:$O$160</definedName>
    <definedName name="rF1.WallWeight" localSheetId="4">'Beispiel 2'!$M$160:$O$160</definedName>
    <definedName name="rF1.WallWeight" localSheetId="5">'Beispiel 3'!$M$160:$O$160</definedName>
    <definedName name="rF1.WallWeight" localSheetId="2">Berechnung!$M$160:$O$160</definedName>
    <definedName name="rF1.WallWeight02" localSheetId="3">'Beispiel 1'!$N$160</definedName>
    <definedName name="rF1.WallWeight02" localSheetId="4">'Beispiel 2'!$N$160</definedName>
    <definedName name="rF1.WallWeight02" localSheetId="5">'Beispiel 3'!$N$160</definedName>
    <definedName name="rF1.WallWeight02" localSheetId="2">Berechnung!$N$160</definedName>
    <definedName name="rF1.WindLoadDesign" localSheetId="3">'Beispiel 1'!$M$72</definedName>
    <definedName name="rF1.WindLoadDesign" localSheetId="4">'Beispiel 2'!$M$72</definedName>
    <definedName name="rF1.WindLoadDesign" localSheetId="5">'Beispiel 3'!$M$72</definedName>
    <definedName name="rF1.WindLoadDesign" localSheetId="2">Berechnung!$M$72</definedName>
    <definedName name="rF1.WindMomentFactor" localSheetId="3">'Beispiel 1'!$F$214:$F$216</definedName>
    <definedName name="rF1.WindMomentFactor" localSheetId="4">'Beispiel 2'!$F$214:$F$216</definedName>
    <definedName name="rF1.WindMomentFactor" localSheetId="5">'Beispiel 3'!$F$214:$F$216</definedName>
    <definedName name="rF1.WindMomentFactor" localSheetId="2">Berechnung!$F$214:$F$216</definedName>
    <definedName name="rL1.FixedVerges">'L1 Auflager'!$W$12:$W$21</definedName>
    <definedName name="rL1.FixedVergesHead">'L1 Auflager'!$W$11</definedName>
    <definedName name="rL1.FixedVergesList">OFFSET(rL1.FixedVergesHead,1,0,rL1.FixedVergesNumber,1)</definedName>
    <definedName name="rL1.FixedVergesNumber">'L1 Auflager'!$W$8</definedName>
    <definedName name="rL1.Slab01">'L1 Auflager'!$K$24:$K$33</definedName>
    <definedName name="rL1.Slab01Head">'L1 Auflager'!$K$23</definedName>
    <definedName name="rL1.Slab01List">OFFSET(rL1.Slab01Head,1,0,rL1.Slab01Number,1)</definedName>
    <definedName name="rL1.Slab01Number">'L1 Auflager'!$K$9</definedName>
    <definedName name="rL1.Slab02">'L1 Auflager'!$O$24:$O$33</definedName>
    <definedName name="rL1.Slab02Head">'L1 Auflager'!$O$23</definedName>
    <definedName name="rL1.Slab02List">OFFSET(rL1.Slab02Head,1,0,rL1.Slab02Number,1)</definedName>
    <definedName name="rL1.Slab02Number">'L1 Auflager'!$O$9</definedName>
    <definedName name="rL1.Slab03">'L1 Auflager'!$S$24:$S$33</definedName>
    <definedName name="rL1.Slab03Head">'L1 Auflager'!$S$23</definedName>
    <definedName name="rL1.Slab03List">OFFSET(rL1.Slab03Head,1,0,rL1.Slab03Number,1)</definedName>
    <definedName name="rL1.Slab03Number">'L1 Auflager'!$S$9</definedName>
    <definedName name="rL1.Slab04">'L1 Auflager'!$W$24:$W$33</definedName>
    <definedName name="rL1.Slab04Head">'L1 Auflager'!$W$23</definedName>
    <definedName name="rL1.Slab04List">OFFSET(rL1.Slab04Head,1,0,rL1.Slab04Number,1)</definedName>
    <definedName name="rL1.Slab04Number">'L1 Auflager'!$W$9</definedName>
    <definedName name="rL1.SlabBearing">'L1 Auflager'!$AD$24:$AD$33</definedName>
    <definedName name="rL1.SlabBearingHead">'L1 Auflager'!$AD$23</definedName>
    <definedName name="rL1.SlabBearingList">OFFSET(rL1.SlabBearingHead,1,0,rL1.SlabBearingNumber,1)</definedName>
    <definedName name="rL1.SlabBearingNumber">'L1 Auflager'!$AD$9</definedName>
    <definedName name="rL1.SlabWooden">'L1 Auflager'!$AA$24:$AA$33</definedName>
    <definedName name="rL1.SlabWoodenHead">'L1 Auflager'!$AA$23</definedName>
    <definedName name="rL1.SlabWoodenList">OFFSET(rL1.SlabWoodenHead,1,0,rL1.SlabWoodenNumber,1)</definedName>
    <definedName name="rL1.SlabWoodenNumber">'L1 Auflager'!$AA$9</definedName>
    <definedName name="rL1.Wall01">'L1 Auflager'!$K$12:$K$21</definedName>
    <definedName name="rL1.Wall01Head">'L1 Auflager'!$K$11</definedName>
    <definedName name="rL1.Wall01List">OFFSET(rL1.Wall01Head,1,0,rL1.Wall01Number,1)</definedName>
    <definedName name="rL1.Wall01Number">'L1 Auflager'!$K$8</definedName>
    <definedName name="rL1.Wall02">'L1 Auflager'!$O$12:$O$21</definedName>
    <definedName name="rL1.Wall02Head">'L1 Auflager'!$O$11</definedName>
    <definedName name="rL1.Wall02List">OFFSET(rL1.Wall02Head,1,0,rL1.Wall02Number,1)</definedName>
    <definedName name="rL1.Wall02Number">'L1 Auflager'!$O$8</definedName>
    <definedName name="rL1.Wall03">'L1 Auflager'!$S$12:$S$21</definedName>
    <definedName name="rL1.Wall03Head">'L1 Auflager'!$S$11</definedName>
    <definedName name="rL1.Wall03List">OFFSET(rL1.Wall03Head,1,0,rL1.Wall03Number,1)</definedName>
    <definedName name="rL1.Wall03Number">'L1 Auflager'!$S$8</definedName>
    <definedName name="rL2.MainGroups01">'L2 Produktgruppen'!$K$12:$K$19</definedName>
    <definedName name="rL2.MainGroups02">'L2 Produktgruppen'!$N$12:$N$17</definedName>
    <definedName name="rL2.MainGroups03">'L2 Produktgruppen'!$Q$12:$Q$18</definedName>
    <definedName name="rL2.MainGroupsHead01">'L2 Produktgruppen'!$K$11</definedName>
    <definedName name="rL2.MainGroupsHead02">'L2 Produktgruppen'!$N$11</definedName>
    <definedName name="rL2.MainGroupsHead03">'L2 Produktgruppen'!$Q$11</definedName>
    <definedName name="rL2.MainGroupsList01">OFFSET(rL2.MainGroupsHead01,1,0,rL2.MainGroupsNumber01,1)</definedName>
    <definedName name="rL2.MainGroupsList02">OFFSET(rL2.MainGroupsHead02,1,0,rL2.MainGroupsNumber02,1)</definedName>
    <definedName name="rL2.MainGroupsList03">OFFSET(rL2.MainGroupsHead03,1,0,rL2.MainGroupsNumber03,1)</definedName>
    <definedName name="rL2.MainGroupsNumber01">'L2 Produktgruppen'!$K$9</definedName>
    <definedName name="rL2.MainGroupsNumber02">'L2 Produktgruppen'!$N$9</definedName>
    <definedName name="rL2.MainGroupsNumber03">'L2 Produktgruppen'!$Q$9</definedName>
    <definedName name="rL3.AufteilungMomenteWind">'L3 Momente Wind'!$K$12:$K$15</definedName>
    <definedName name="rL3.AufteilungMomenteWindAnzahl">'L3 Momente Wind'!$K$9</definedName>
    <definedName name="rL3.AufteilungMomenteWindList">OFFSET(rL3.Knoten,1,0,rL3.AufteilungMomenteWindAnzahl,1)</definedName>
    <definedName name="rL3.Knoten">'L3 Momente Wind'!$K$11</definedName>
    <definedName name="rL4.ConcWallThickness">'L4 Dicke Beton'!$K$12:$K$32</definedName>
    <definedName name="rL4.ConcWallThicknessHead">'L4 Dicke Beton'!$K$11</definedName>
    <definedName name="rL4.ConcWallThicknessList">OFFSET(rL4.ConcWallThicknessHead,1,0,rL4.ConcWallThicknessNumber,1)</definedName>
    <definedName name="rL4.ConcWallThicknessNumber">'L4 Dicke Beton'!$K$9</definedName>
    <definedName name="rL5.EccentricityFactor">'L5 Überbindemaß'!$K$16:$K$19</definedName>
    <definedName name="rL5.Knoten01">'L5 Überbindemaß'!$N$11</definedName>
    <definedName name="rL5.Knoten02">'L5 Überbindemaß'!$N$15</definedName>
    <definedName name="rL5.MaxEccentricityFactor">'L5 Überbindemaß'!$K$18</definedName>
    <definedName name="rL5.MaxRho2">'L5 Überbindemaß'!$L$18</definedName>
    <definedName name="rL5.Measurements">'L5 Überbindemaß'!$O$15:$R$15</definedName>
    <definedName name="rL5.MinEccentricityFactor">'L5 Überbindemaß'!$K$17</definedName>
    <definedName name="rL5.MinRho2">'L5 Überbindemaß'!$L$17</definedName>
    <definedName name="rL5.OverlappingHead">'L5 Überbindemaß'!$K$11</definedName>
    <definedName name="rL5.OverlappingList">'L5 Überbindemaß'!$K$12:$K$13</definedName>
    <definedName name="rL5.OverlappingListFactor">'L5 Überbindemaß'!$K$9</definedName>
    <definedName name="rL5.Rho_2">'L5 Überbindemaß'!$L$16:$L$19</definedName>
    <definedName name="rL6.FireResClassList">'L6 Feuerwiderstand'!$K$12:$K$16</definedName>
    <definedName name="rP1.BucklingBearingDepth">'Parameter 1'!$L$26</definedName>
    <definedName name="rP1.BucklingThickness">'Parameter 1'!$L$27</definedName>
    <definedName name="rP1.CheckwordBaseplate">'Parameter 1'!$O$17</definedName>
    <definedName name="rP1.CheckWordCantilever">'Parameter 1'!$O$12</definedName>
    <definedName name="rP1.CheckwordFixed">'Parameter 1'!$O$14</definedName>
    <definedName name="rP1.CheckwordHinged">'Parameter 1'!$O$15</definedName>
    <definedName name="rP1.CheckwordNotExisting">'Parameter 1'!$O$16</definedName>
    <definedName name="rP1.CheckwordPlaneBrick">'Parameter 1'!$O$18</definedName>
    <definedName name="rP1.CheckwordWoodenSlab">'Parameter 1'!$O$13</definedName>
    <definedName name="rP1.ConcreteWeight">'Parameter 1'!$L$21</definedName>
    <definedName name="rP1.CreepCoefficient">'Parameter 1'!$L$11</definedName>
    <definedName name="rP1.Gravitation">'Parameter 1'!$L$19</definedName>
    <definedName name="rP1.LimitSlendernessKappa">'Parameter 1'!$L$25</definedName>
    <definedName name="rP1.MasonryStiffnessFactor">'Parameter 1'!$L$14</definedName>
    <definedName name="rP1.MaximumLengthOneFixed">'Parameter 1'!$L$31</definedName>
    <definedName name="rP1.MaximumLengthTwoFixed">'Parameter 1'!$L$30</definedName>
    <definedName name="rP1.MaxLengthFireOutput">'Parameter 1'!$L$28</definedName>
    <definedName name="rP1.MaxPerfFactorReduction">'Parameter 1'!$L$24</definedName>
    <definedName name="rP1.MaxSlendernessCreepEcc">'Parameter 1'!$L$12</definedName>
    <definedName name="rP1.MaxSlendernessWall">'Parameter 1'!$L$13</definedName>
    <definedName name="rP1.MaxWallAreaReduction">'Parameter 1'!$L$16</definedName>
    <definedName name="rP1.MinBearingDepthFire">'Parameter 1'!$L$29</definedName>
    <definedName name="rP1.MinRho3">'Parameter 1'!$L$18</definedName>
    <definedName name="rP1.ReductionMasonryStrengthArea">'Parameter 1'!$L$17</definedName>
    <definedName name="rP1.SafetyDeadLoad">'Parameter 1'!$L$20</definedName>
    <definedName name="rP1.StiffnessFactorBearingCantilever">'Parameter 1'!$L$15</definedName>
    <definedName name="rP1.StiffnessFactorHinged">'Parameter 1'!$L$22</definedName>
    <definedName name="rP2.FireProofManual">'Parameter 2 Ausgabe'!$M$39</definedName>
    <definedName name="rP2.InputYesNo">'Parameter 2 Ausgabe'!$P$11:$P$12</definedName>
    <definedName name="rP2.LongTermFactor">'Parameter 1'!$L$23</definedName>
    <definedName name="rP2.OutputBearingDepth01">'Parameter 2 Ausgabe'!$M$34</definedName>
    <definedName name="rP2.OutputBearingDepth02">'Parameter 2 Ausgabe'!$M$35</definedName>
    <definedName name="rP2.OutputBearingWoodenSlab01">'Parameter 2 Ausgabe'!$M$23</definedName>
    <definedName name="rP2.OutputBearingWoodenSlab02">'Parameter 2 Ausgabe'!$M$24</definedName>
    <definedName name="rP2.OutputContinuousSlab">'Parameter 2 Ausgabe'!$M$14</definedName>
    <definedName name="rP2.OutputEccentricityAnnexC5">'Parameter 2 Ausgabe'!$M$32</definedName>
    <definedName name="rP2.OutputEccentricityWoodenSlab">'Parameter 2 Ausgabe'!$M$33</definedName>
    <definedName name="rP2.OutputFireProofManual02">'Parameter 2 Ausgabe'!$M$40</definedName>
    <definedName name="rP2.OutputFireResClassFail">'Parameter 2 Ausgabe'!$M$36</definedName>
    <definedName name="rP2.OutputFireResNN">'Parameter 2 Ausgabe'!$M$37</definedName>
    <definedName name="rP2.OutputIsokorbSlab03">'Parameter 2 Ausgabe'!$M$15</definedName>
    <definedName name="rP2.OutputIsokorbSlab04">'Parameter 2 Ausgabe'!$M$16</definedName>
    <definedName name="rP2.OutputMatch">'Parameter 2 Ausgabe'!$M$38</definedName>
    <definedName name="rP2.OutputNoInput">'Parameter 2 Ausgabe'!$M$12</definedName>
    <definedName name="rP2.OutputNoMortarNeeded">'Parameter 2 Ausgabe'!$M$13</definedName>
    <definedName name="rP2.OutputOneFixedVergeNP">'Parameter 2 Ausgabe'!$M$42</definedName>
    <definedName name="rP2.OutputProofFulfilled">'Parameter 2 Ausgabe'!$M$18</definedName>
    <definedName name="rP2.OutputProofNotFulfilled">'Parameter 2 Ausgabe'!$M$19</definedName>
    <definedName name="rP2.OutputSafetyFacotrWall">'Parameter 2 Ausgabe'!$M$20</definedName>
    <definedName name="rP2.OutputSlab01">'Parameter 2 Ausgabe'!$M$28</definedName>
    <definedName name="rP2.OutputSlab02">'Parameter 2 Ausgabe'!$M$29</definedName>
    <definedName name="rP2.OutputSlab03">'Parameter 2 Ausgabe'!$M$30</definedName>
    <definedName name="rP2.OutputSlab04">'Parameter 2 Ausgabe'!$M$31</definedName>
    <definedName name="rP2.OutputSmallEccentricity">'Parameter 2 Ausgabe'!$M$21</definedName>
    <definedName name="rP2.OutputSmallEccentricityMiddle">'Parameter 2 Ausgabe'!$M$22</definedName>
    <definedName name="rP2.OutputTwoFixedVergesNP">'Parameter 2 Ausgabe'!$M$41</definedName>
    <definedName name="rP2.OutputWall01">'Parameter 2 Ausgabe'!$M$25</definedName>
    <definedName name="rP2.OutputWall02">'Parameter 2 Ausgabe'!$M$26</definedName>
    <definedName name="rP2.OutputWall03">'Parameter 2 Ausgabe'!$M$27</definedName>
    <definedName name="rP2.OutputWallSlenderness">'Parameter 2 Ausgabe'!$M$17</definedName>
    <definedName name="rP2.OutputYesNo">'Parameter 2 Ausgabe'!$Q$11:$Q$12</definedName>
    <definedName name="Z_D9E11D92_C3F6_400D_9CCD_0BAB3C21C6A8_.wvu.Cols" localSheetId="0" hidden="1">Disclaimer!$L:$XFD</definedName>
    <definedName name="Z_D9E11D92_C3F6_400D_9CCD_0BAB3C21C6A8_.wvu.PrintArea" localSheetId="3" hidden="1">'Beispiel 1'!$K$18:$Q$267</definedName>
    <definedName name="Z_D9E11D92_C3F6_400D_9CCD_0BAB3C21C6A8_.wvu.PrintArea" localSheetId="4" hidden="1">'Beispiel 2'!$K$18:$Q$267</definedName>
    <definedName name="Z_D9E11D92_C3F6_400D_9CCD_0BAB3C21C6A8_.wvu.PrintArea" localSheetId="5" hidden="1">'Beispiel 3'!$K$18:$Q$267</definedName>
    <definedName name="Z_D9E11D92_C3F6_400D_9CCD_0BAB3C21C6A8_.wvu.PrintArea" localSheetId="2" hidden="1">Berechnung!$K$18:$Q$267</definedName>
    <definedName name="Z_D9E11D92_C3F6_400D_9CCD_0BAB3C21C6A8_.wvu.Rows" localSheetId="0" hidden="1">Disclaimer!$13:$1048576</definedName>
  </definedNames>
  <calcPr calcId="191029"/>
  <customWorkbookViews>
    <customWorkbookView name="Tool" guid="{D9E11D92-C3F6-400D-9CCD-0BAB3C21C6A8}" maximized="1" xWindow="-8" yWindow="-8" windowWidth="1936" windowHeight="1056" tabRatio="90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X114" i="3" l="1"/>
  <c r="X113" i="3"/>
  <c r="X105" i="3" l="1"/>
  <c r="X104" i="3"/>
  <c r="X52" i="3" l="1"/>
  <c r="X51" i="3"/>
  <c r="S46" i="3" l="1"/>
  <c r="S45" i="3"/>
  <c r="S37" i="3"/>
  <c r="S36" i="3"/>
  <c r="S35" i="3"/>
  <c r="S31" i="3"/>
  <c r="S30" i="3"/>
  <c r="S29" i="3"/>
  <c r="S93" i="3"/>
  <c r="S89" i="3"/>
  <c r="S88" i="3"/>
  <c r="S16" i="3"/>
  <c r="S76" i="3"/>
  <c r="S75" i="3"/>
  <c r="S74" i="3"/>
  <c r="S67" i="3"/>
  <c r="S66" i="3"/>
  <c r="C266" i="23" l="1"/>
  <c r="M258" i="23"/>
  <c r="M257" i="23"/>
  <c r="C250" i="23"/>
  <c r="C232" i="23"/>
  <c r="M224" i="23"/>
  <c r="M223" i="23"/>
  <c r="M201" i="23"/>
  <c r="N199" i="23"/>
  <c r="N198" i="23"/>
  <c r="N197" i="23"/>
  <c r="M197" i="23"/>
  <c r="P195" i="23"/>
  <c r="O195" i="23"/>
  <c r="N195" i="23"/>
  <c r="M195" i="23"/>
  <c r="P194" i="23"/>
  <c r="O194" i="23"/>
  <c r="N194" i="23"/>
  <c r="M194" i="23"/>
  <c r="P193" i="23"/>
  <c r="O193" i="23"/>
  <c r="N193" i="23"/>
  <c r="M193" i="23"/>
  <c r="P192" i="23"/>
  <c r="O192" i="23"/>
  <c r="N192" i="23"/>
  <c r="M192" i="23"/>
  <c r="P190" i="23"/>
  <c r="O190" i="23"/>
  <c r="N190" i="23"/>
  <c r="M190" i="23"/>
  <c r="P189" i="23"/>
  <c r="O189" i="23"/>
  <c r="N189" i="23"/>
  <c r="M189" i="23"/>
  <c r="P188" i="23"/>
  <c r="O188" i="23"/>
  <c r="N188" i="23"/>
  <c r="M188" i="23"/>
  <c r="N180" i="23"/>
  <c r="M180" i="23"/>
  <c r="P179" i="23"/>
  <c r="O179" i="23"/>
  <c r="N179" i="23"/>
  <c r="M179" i="23"/>
  <c r="N178" i="23"/>
  <c r="M178" i="23"/>
  <c r="P177" i="23"/>
  <c r="O177" i="23"/>
  <c r="N177" i="23"/>
  <c r="M177" i="23"/>
  <c r="P176" i="23"/>
  <c r="O176" i="23"/>
  <c r="N176" i="23"/>
  <c r="M176" i="23"/>
  <c r="P175" i="23"/>
  <c r="P184" i="23" s="1"/>
  <c r="O175" i="23"/>
  <c r="O184" i="23" s="1"/>
  <c r="N175" i="23"/>
  <c r="N184" i="23" s="1"/>
  <c r="M175" i="23"/>
  <c r="M184" i="23" s="1"/>
  <c r="N172" i="23"/>
  <c r="M172" i="23"/>
  <c r="P170" i="23"/>
  <c r="N166" i="23"/>
  <c r="O165" i="23"/>
  <c r="N165" i="23"/>
  <c r="O164" i="23"/>
  <c r="N164" i="23"/>
  <c r="N163" i="23"/>
  <c r="M163" i="23"/>
  <c r="N162" i="23"/>
  <c r="O161" i="23"/>
  <c r="N161" i="23"/>
  <c r="O158" i="23"/>
  <c r="N158" i="23"/>
  <c r="N157" i="23"/>
  <c r="M157" i="23"/>
  <c r="N147" i="23"/>
  <c r="AE53" i="23" s="1"/>
  <c r="O145" i="23"/>
  <c r="N145" i="23"/>
  <c r="M145" i="23"/>
  <c r="O144" i="23"/>
  <c r="N144" i="23"/>
  <c r="M144" i="23"/>
  <c r="N141" i="23"/>
  <c r="N139" i="23"/>
  <c r="O132" i="23"/>
  <c r="N132" i="23"/>
  <c r="M132" i="23"/>
  <c r="Y94" i="23"/>
  <c r="U94" i="23"/>
  <c r="AE83" i="23"/>
  <c r="AE82" i="23"/>
  <c r="AE81" i="23"/>
  <c r="AA81" i="23"/>
  <c r="Z81" i="23"/>
  <c r="AE80" i="23"/>
  <c r="AE79" i="23"/>
  <c r="AE78" i="23"/>
  <c r="AE77" i="23"/>
  <c r="AE76" i="23"/>
  <c r="AE75" i="23"/>
  <c r="AE74" i="23"/>
  <c r="AE73" i="23"/>
  <c r="AE72" i="23"/>
  <c r="AE71" i="23"/>
  <c r="W71" i="23"/>
  <c r="AE70" i="23"/>
  <c r="O70" i="23"/>
  <c r="H70" i="23"/>
  <c r="AE69" i="23"/>
  <c r="AE68" i="23"/>
  <c r="W68" i="23"/>
  <c r="V68" i="23"/>
  <c r="AE67" i="23"/>
  <c r="P67" i="23"/>
  <c r="O67" i="23"/>
  <c r="AE66" i="23"/>
  <c r="AE65" i="23"/>
  <c r="Y65" i="23"/>
  <c r="X65" i="23"/>
  <c r="AE64" i="23"/>
  <c r="P64" i="23"/>
  <c r="O64" i="23"/>
  <c r="N64" i="23"/>
  <c r="M64" i="23"/>
  <c r="AE63" i="23"/>
  <c r="P60" i="23"/>
  <c r="O60" i="23"/>
  <c r="N60" i="23"/>
  <c r="M60" i="23"/>
  <c r="W57" i="23"/>
  <c r="V57" i="23"/>
  <c r="W55" i="23"/>
  <c r="V55" i="23"/>
  <c r="W53" i="23"/>
  <c r="V53" i="23"/>
  <c r="T53" i="23"/>
  <c r="P53" i="23"/>
  <c r="O53" i="23"/>
  <c r="W51" i="23"/>
  <c r="V51" i="23"/>
  <c r="T51" i="23"/>
  <c r="F50" i="23"/>
  <c r="V54" i="23" s="1"/>
  <c r="E50" i="23"/>
  <c r="AC47" i="23"/>
  <c r="AJ40" i="23"/>
  <c r="AI40" i="23"/>
  <c r="AH40" i="23"/>
  <c r="AG40" i="23"/>
  <c r="AF40" i="23"/>
  <c r="AE40" i="23"/>
  <c r="AC40" i="23"/>
  <c r="T40" i="23"/>
  <c r="AJ38" i="23"/>
  <c r="AI38" i="23"/>
  <c r="AH38" i="23"/>
  <c r="AG38" i="23"/>
  <c r="AF38" i="23"/>
  <c r="AE38" i="23"/>
  <c r="AC38" i="23"/>
  <c r="T38" i="23"/>
  <c r="E38" i="23"/>
  <c r="F38" i="23" s="1"/>
  <c r="AJ33" i="23"/>
  <c r="AI33" i="23"/>
  <c r="AH33" i="23"/>
  <c r="AG33" i="23"/>
  <c r="AF33" i="23"/>
  <c r="AE33" i="23"/>
  <c r="AC33" i="23"/>
  <c r="T33" i="23"/>
  <c r="AJ31" i="23"/>
  <c r="AI31" i="23"/>
  <c r="AH31" i="23"/>
  <c r="AG31" i="23"/>
  <c r="AF31" i="23"/>
  <c r="AE31" i="23"/>
  <c r="AC31" i="23"/>
  <c r="E30" i="23"/>
  <c r="G29" i="23"/>
  <c r="AH35" i="23" s="1"/>
  <c r="E29" i="23"/>
  <c r="O2" i="23"/>
  <c r="N2" i="23"/>
  <c r="M2" i="23"/>
  <c r="C266" i="22"/>
  <c r="M258" i="22"/>
  <c r="M257" i="22"/>
  <c r="C250" i="22"/>
  <c r="C232" i="22"/>
  <c r="M224" i="22"/>
  <c r="M223" i="22"/>
  <c r="M201" i="22"/>
  <c r="N199" i="22"/>
  <c r="N198" i="22"/>
  <c r="N197" i="22"/>
  <c r="M197" i="22"/>
  <c r="P195" i="22"/>
  <c r="O195" i="22"/>
  <c r="N195" i="22"/>
  <c r="M195" i="22"/>
  <c r="P194" i="22"/>
  <c r="O194" i="22"/>
  <c r="N194" i="22"/>
  <c r="M194" i="22"/>
  <c r="P193" i="22"/>
  <c r="O193" i="22"/>
  <c r="N193" i="22"/>
  <c r="M193" i="22"/>
  <c r="P192" i="22"/>
  <c r="O192" i="22"/>
  <c r="N192" i="22"/>
  <c r="M192" i="22"/>
  <c r="P190" i="22"/>
  <c r="O190" i="22"/>
  <c r="N190" i="22"/>
  <c r="M190" i="22"/>
  <c r="P189" i="22"/>
  <c r="O189" i="22"/>
  <c r="N189" i="22"/>
  <c r="M189" i="22"/>
  <c r="P188" i="22"/>
  <c r="O188" i="22"/>
  <c r="N188" i="22"/>
  <c r="M188" i="22"/>
  <c r="N180" i="22"/>
  <c r="M180" i="22"/>
  <c r="P179" i="22"/>
  <c r="O179" i="22"/>
  <c r="N179" i="22"/>
  <c r="M179" i="22"/>
  <c r="N178" i="22"/>
  <c r="M178" i="22"/>
  <c r="P177" i="22"/>
  <c r="O177" i="22"/>
  <c r="N177" i="22"/>
  <c r="M177" i="22"/>
  <c r="P176" i="22"/>
  <c r="O176" i="22"/>
  <c r="N176" i="22"/>
  <c r="M176" i="22"/>
  <c r="P175" i="22"/>
  <c r="P184" i="22" s="1"/>
  <c r="O175" i="22"/>
  <c r="O184" i="22" s="1"/>
  <c r="N175" i="22"/>
  <c r="N184" i="22" s="1"/>
  <c r="M175" i="22"/>
  <c r="M184" i="22" s="1"/>
  <c r="N172" i="22"/>
  <c r="M172" i="22"/>
  <c r="P170" i="22"/>
  <c r="N166" i="22"/>
  <c r="O165" i="22"/>
  <c r="N165" i="22"/>
  <c r="O164" i="22"/>
  <c r="N164" i="22"/>
  <c r="N163" i="22"/>
  <c r="M163" i="22"/>
  <c r="N162" i="22"/>
  <c r="O161" i="22"/>
  <c r="N161" i="22"/>
  <c r="O158" i="22"/>
  <c r="N158" i="22"/>
  <c r="N157" i="22"/>
  <c r="M157" i="22"/>
  <c r="N147" i="22"/>
  <c r="AE54" i="22" s="1"/>
  <c r="O145" i="22"/>
  <c r="N145" i="22"/>
  <c r="M145" i="22"/>
  <c r="O144" i="22"/>
  <c r="N144" i="22"/>
  <c r="M144" i="22"/>
  <c r="N141" i="22"/>
  <c r="N139" i="22"/>
  <c r="O132" i="22"/>
  <c r="N132" i="22"/>
  <c r="M132" i="22"/>
  <c r="Y94" i="22"/>
  <c r="U94" i="22"/>
  <c r="AE83" i="22"/>
  <c r="AE82" i="22"/>
  <c r="AE81" i="22"/>
  <c r="AA81" i="22"/>
  <c r="Z81" i="22"/>
  <c r="AE80" i="22"/>
  <c r="AE79" i="22"/>
  <c r="AE78" i="22"/>
  <c r="AE77" i="22"/>
  <c r="AE76" i="22"/>
  <c r="AE75" i="22"/>
  <c r="AE74" i="22"/>
  <c r="AE73" i="22"/>
  <c r="AE72" i="22"/>
  <c r="AE71" i="22"/>
  <c r="W71" i="22"/>
  <c r="AE70" i="22"/>
  <c r="O70" i="22"/>
  <c r="H70" i="22"/>
  <c r="AE69" i="22"/>
  <c r="AE68" i="22"/>
  <c r="W68" i="22"/>
  <c r="V68" i="22"/>
  <c r="AE67" i="22"/>
  <c r="P67" i="22"/>
  <c r="U97" i="22" s="1"/>
  <c r="O67" i="22"/>
  <c r="AE66" i="22"/>
  <c r="AE65" i="22"/>
  <c r="Y65" i="22"/>
  <c r="X65" i="22"/>
  <c r="AE64" i="22"/>
  <c r="P64" i="22"/>
  <c r="O64" i="22"/>
  <c r="N64" i="22"/>
  <c r="M64" i="22"/>
  <c r="AE63" i="22"/>
  <c r="P60" i="22"/>
  <c r="O60" i="22"/>
  <c r="N60" i="22"/>
  <c r="M60" i="22"/>
  <c r="W57" i="22"/>
  <c r="V57" i="22"/>
  <c r="W55" i="22"/>
  <c r="V55" i="22"/>
  <c r="W53" i="22"/>
  <c r="V53" i="22"/>
  <c r="T53" i="22"/>
  <c r="P53" i="22"/>
  <c r="O53" i="22"/>
  <c r="W51" i="22"/>
  <c r="V51" i="22"/>
  <c r="T51" i="22"/>
  <c r="F50" i="22"/>
  <c r="E50" i="22"/>
  <c r="AC47" i="22"/>
  <c r="AJ40" i="22"/>
  <c r="AI40" i="22"/>
  <c r="AH40" i="22"/>
  <c r="AG40" i="22"/>
  <c r="AF40" i="22"/>
  <c r="AE40" i="22"/>
  <c r="AC40" i="22"/>
  <c r="T40" i="22"/>
  <c r="AJ38" i="22"/>
  <c r="AI38" i="22"/>
  <c r="AH38" i="22"/>
  <c r="AG38" i="22"/>
  <c r="AF38" i="22"/>
  <c r="AE38" i="22"/>
  <c r="AC38" i="22"/>
  <c r="T38" i="22"/>
  <c r="E38" i="22"/>
  <c r="F38" i="22" s="1"/>
  <c r="AJ33" i="22"/>
  <c r="AI33" i="22"/>
  <c r="AH33" i="22"/>
  <c r="AG33" i="22"/>
  <c r="AF33" i="22"/>
  <c r="AE33" i="22"/>
  <c r="AC33" i="22"/>
  <c r="T33" i="22"/>
  <c r="AJ31" i="22"/>
  <c r="AI31" i="22"/>
  <c r="AH31" i="22"/>
  <c r="AG31" i="22"/>
  <c r="AF31" i="22"/>
  <c r="AE31" i="22"/>
  <c r="AC31" i="22"/>
  <c r="E30" i="22"/>
  <c r="G29" i="22"/>
  <c r="AF35" i="22" s="1"/>
  <c r="E29" i="22"/>
  <c r="O2" i="22"/>
  <c r="N2" i="22"/>
  <c r="M2" i="22"/>
  <c r="C266" i="21"/>
  <c r="M258" i="21"/>
  <c r="M257" i="21"/>
  <c r="C250" i="21"/>
  <c r="C232" i="21"/>
  <c r="M224" i="21"/>
  <c r="M223" i="21"/>
  <c r="M201" i="21"/>
  <c r="N199" i="21"/>
  <c r="N198" i="21"/>
  <c r="N197" i="21"/>
  <c r="M197" i="21"/>
  <c r="P195" i="21"/>
  <c r="O195" i="21"/>
  <c r="N195" i="21"/>
  <c r="M195" i="21"/>
  <c r="P194" i="21"/>
  <c r="O194" i="21"/>
  <c r="N194" i="21"/>
  <c r="M194" i="21"/>
  <c r="P193" i="21"/>
  <c r="O193" i="21"/>
  <c r="N193" i="21"/>
  <c r="M193" i="21"/>
  <c r="P192" i="21"/>
  <c r="O192" i="21"/>
  <c r="N192" i="21"/>
  <c r="M192" i="21"/>
  <c r="P190" i="21"/>
  <c r="O190" i="21"/>
  <c r="N190" i="21"/>
  <c r="M190" i="21"/>
  <c r="P189" i="21"/>
  <c r="O189" i="21"/>
  <c r="N189" i="21"/>
  <c r="M189" i="21"/>
  <c r="P188" i="21"/>
  <c r="O188" i="21"/>
  <c r="N188" i="21"/>
  <c r="M188" i="21"/>
  <c r="N180" i="21"/>
  <c r="M180" i="21"/>
  <c r="P179" i="21"/>
  <c r="O179" i="21"/>
  <c r="N179" i="21"/>
  <c r="M179" i="21"/>
  <c r="N178" i="21"/>
  <c r="M178" i="21"/>
  <c r="P177" i="21"/>
  <c r="O177" i="21"/>
  <c r="N177" i="21"/>
  <c r="M177" i="21"/>
  <c r="P176" i="21"/>
  <c r="O176" i="21"/>
  <c r="N176" i="21"/>
  <c r="M176" i="21"/>
  <c r="P175" i="21"/>
  <c r="P184" i="21" s="1"/>
  <c r="O175" i="21"/>
  <c r="O184" i="21" s="1"/>
  <c r="N175" i="21"/>
  <c r="N184" i="21" s="1"/>
  <c r="M175" i="21"/>
  <c r="M184" i="21" s="1"/>
  <c r="N172" i="21"/>
  <c r="M172" i="21"/>
  <c r="P170" i="21"/>
  <c r="N166" i="21"/>
  <c r="O165" i="21"/>
  <c r="N165" i="21"/>
  <c r="O164" i="21"/>
  <c r="N164" i="21"/>
  <c r="N163" i="21"/>
  <c r="M163" i="21"/>
  <c r="N162" i="21"/>
  <c r="O161" i="21"/>
  <c r="N161" i="21"/>
  <c r="O158" i="21"/>
  <c r="N158" i="21"/>
  <c r="N157" i="21"/>
  <c r="M157" i="21"/>
  <c r="N147" i="21"/>
  <c r="AE53" i="21" s="1"/>
  <c r="O145" i="21"/>
  <c r="N145" i="21"/>
  <c r="M145" i="21"/>
  <c r="O144" i="21"/>
  <c r="N144" i="21"/>
  <c r="M144" i="21"/>
  <c r="N141" i="21"/>
  <c r="N139" i="21"/>
  <c r="O132" i="21"/>
  <c r="N132" i="21"/>
  <c r="M132" i="21"/>
  <c r="Y94" i="21"/>
  <c r="U94" i="21"/>
  <c r="AE83" i="21"/>
  <c r="AE82" i="21"/>
  <c r="AE81" i="21"/>
  <c r="AA81" i="21"/>
  <c r="Z81" i="21"/>
  <c r="AE80" i="21"/>
  <c r="AE79" i="21"/>
  <c r="AE78" i="21"/>
  <c r="AE77" i="21"/>
  <c r="AE76" i="21"/>
  <c r="AE75" i="21"/>
  <c r="AE74" i="21"/>
  <c r="AE73" i="21"/>
  <c r="AE72" i="21"/>
  <c r="AE71" i="21"/>
  <c r="W71" i="21"/>
  <c r="AE70" i="21"/>
  <c r="O70" i="21"/>
  <c r="H70" i="21"/>
  <c r="AE69" i="21"/>
  <c r="AE68" i="21"/>
  <c r="W68" i="21"/>
  <c r="V68" i="21"/>
  <c r="AE67" i="21"/>
  <c r="P67" i="21"/>
  <c r="O67" i="21"/>
  <c r="AE66" i="21"/>
  <c r="AE65" i="21"/>
  <c r="Y65" i="21"/>
  <c r="X65" i="21"/>
  <c r="AE64" i="21"/>
  <c r="P64" i="21"/>
  <c r="O64" i="21"/>
  <c r="N64" i="21"/>
  <c r="M64" i="21"/>
  <c r="AE63" i="21"/>
  <c r="P60" i="21"/>
  <c r="O60" i="21"/>
  <c r="N60" i="21"/>
  <c r="M60" i="21"/>
  <c r="W57" i="21"/>
  <c r="V57" i="21"/>
  <c r="W55" i="21"/>
  <c r="V55" i="21"/>
  <c r="W53" i="21"/>
  <c r="V53" i="21"/>
  <c r="T53" i="21"/>
  <c r="P53" i="21"/>
  <c r="O53" i="21"/>
  <c r="W51" i="21"/>
  <c r="V51" i="21"/>
  <c r="T51" i="21"/>
  <c r="F50" i="21"/>
  <c r="E50" i="21"/>
  <c r="AC47" i="21"/>
  <c r="AJ40" i="21"/>
  <c r="AI40" i="21"/>
  <c r="AH40" i="21"/>
  <c r="AG40" i="21"/>
  <c r="AF40" i="21"/>
  <c r="AE40" i="21"/>
  <c r="AC40" i="21"/>
  <c r="T40" i="21"/>
  <c r="AJ38" i="21"/>
  <c r="AI38" i="21"/>
  <c r="AH38" i="21"/>
  <c r="AG38" i="21"/>
  <c r="AF38" i="21"/>
  <c r="AE38" i="21"/>
  <c r="AC38" i="21"/>
  <c r="T38" i="21"/>
  <c r="F38" i="21"/>
  <c r="E38" i="21"/>
  <c r="AJ33" i="21"/>
  <c r="AI33" i="21"/>
  <c r="AH33" i="21"/>
  <c r="AG33" i="21"/>
  <c r="AF33" i="21"/>
  <c r="AE33" i="21"/>
  <c r="AC33" i="21"/>
  <c r="T33" i="21"/>
  <c r="AJ31" i="21"/>
  <c r="AI31" i="21"/>
  <c r="AH31" i="21"/>
  <c r="AG31" i="21"/>
  <c r="AF31" i="21"/>
  <c r="AE31" i="21"/>
  <c r="AC31" i="21"/>
  <c r="E30" i="21"/>
  <c r="G29" i="21"/>
  <c r="F53" i="21" s="1"/>
  <c r="E29" i="21"/>
  <c r="M135" i="21" s="1"/>
  <c r="O2" i="21"/>
  <c r="N2" i="21"/>
  <c r="M2" i="21"/>
  <c r="AJ35" i="23" l="1"/>
  <c r="W52" i="21"/>
  <c r="X51" i="22"/>
  <c r="W52" i="23"/>
  <c r="AG35" i="22"/>
  <c r="AC35" i="23"/>
  <c r="AF35" i="23"/>
  <c r="AF54" i="23"/>
  <c r="AE51" i="23"/>
  <c r="AF53" i="23"/>
  <c r="AE54" i="23"/>
  <c r="AF51" i="23"/>
  <c r="AG35" i="23"/>
  <c r="S35" i="23"/>
  <c r="M43" i="23"/>
  <c r="E49" i="23"/>
  <c r="E53" i="23" s="1"/>
  <c r="X51" i="23"/>
  <c r="X53" i="23"/>
  <c r="G75" i="23"/>
  <c r="M42" i="23"/>
  <c r="M219" i="23"/>
  <c r="O197" i="23"/>
  <c r="AJ35" i="22"/>
  <c r="X53" i="22"/>
  <c r="T35" i="23"/>
  <c r="AE35" i="23"/>
  <c r="AI35" i="23"/>
  <c r="N182" i="23"/>
  <c r="N181" i="23"/>
  <c r="N174" i="23"/>
  <c r="N185" i="23" s="1"/>
  <c r="N173" i="23"/>
  <c r="F53" i="23"/>
  <c r="W54" i="23"/>
  <c r="M162" i="23"/>
  <c r="P180" i="23"/>
  <c r="P178" i="23"/>
  <c r="M76" i="23"/>
  <c r="U97" i="23"/>
  <c r="M165" i="23"/>
  <c r="M182" i="23"/>
  <c r="M181" i="23"/>
  <c r="M174" i="23"/>
  <c r="M185" i="23" s="1"/>
  <c r="M173" i="23"/>
  <c r="V52" i="23"/>
  <c r="O180" i="23"/>
  <c r="O178" i="23"/>
  <c r="AE53" i="22"/>
  <c r="W52" i="22"/>
  <c r="M42" i="22"/>
  <c r="E49" i="22"/>
  <c r="T31" i="22" s="1"/>
  <c r="AF51" i="22"/>
  <c r="AF54" i="22"/>
  <c r="AE52" i="22"/>
  <c r="AF53" i="22"/>
  <c r="M43" i="22"/>
  <c r="AE51" i="22"/>
  <c r="AF52" i="22"/>
  <c r="S35" i="21"/>
  <c r="AJ35" i="21"/>
  <c r="M140" i="22"/>
  <c r="M33" i="22" s="1"/>
  <c r="M135" i="22"/>
  <c r="M136" i="22"/>
  <c r="M133" i="22"/>
  <c r="S35" i="22"/>
  <c r="AC35" i="22"/>
  <c r="AH35" i="22"/>
  <c r="P180" i="22"/>
  <c r="P178" i="22"/>
  <c r="AC35" i="21"/>
  <c r="F53" i="22"/>
  <c r="T35" i="22"/>
  <c r="AE35" i="22"/>
  <c r="AI35" i="22"/>
  <c r="N182" i="22"/>
  <c r="N181" i="22"/>
  <c r="N174" i="22"/>
  <c r="N185" i="22" s="1"/>
  <c r="N173" i="22"/>
  <c r="W54" i="22"/>
  <c r="V54" i="22"/>
  <c r="AH35" i="21"/>
  <c r="AF35" i="21"/>
  <c r="M165" i="22"/>
  <c r="M162" i="22"/>
  <c r="O197" i="22"/>
  <c r="M219" i="22"/>
  <c r="G75" i="22"/>
  <c r="M76" i="22"/>
  <c r="M182" i="22"/>
  <c r="M181" i="22"/>
  <c r="M174" i="22"/>
  <c r="M185" i="22" s="1"/>
  <c r="M173" i="22"/>
  <c r="V52" i="22"/>
  <c r="O180" i="22"/>
  <c r="O178" i="22"/>
  <c r="AE54" i="21"/>
  <c r="M43" i="21"/>
  <c r="AF51" i="21"/>
  <c r="X51" i="21"/>
  <c r="AE52" i="21"/>
  <c r="E49" i="21"/>
  <c r="T31" i="21" s="1"/>
  <c r="G75" i="21"/>
  <c r="L130" i="21" s="1"/>
  <c r="M165" i="21"/>
  <c r="N182" i="21"/>
  <c r="N181" i="21"/>
  <c r="N174" i="21"/>
  <c r="N185" i="21" s="1"/>
  <c r="N173" i="21"/>
  <c r="W54" i="21"/>
  <c r="X53" i="21"/>
  <c r="M219" i="21"/>
  <c r="O197" i="21"/>
  <c r="U97" i="21"/>
  <c r="M76" i="21"/>
  <c r="M162" i="21"/>
  <c r="AG35" i="21"/>
  <c r="M42" i="21"/>
  <c r="AE51" i="21"/>
  <c r="M133" i="21"/>
  <c r="M140" i="21"/>
  <c r="M33" i="21" s="1"/>
  <c r="M136" i="21"/>
  <c r="O180" i="21"/>
  <c r="O178" i="21"/>
  <c r="V54" i="21"/>
  <c r="T35" i="21"/>
  <c r="AE35" i="21"/>
  <c r="AI35" i="21"/>
  <c r="M182" i="21"/>
  <c r="M181" i="21"/>
  <c r="M174" i="21"/>
  <c r="M173" i="21"/>
  <c r="V52" i="21"/>
  <c r="AF54" i="21"/>
  <c r="AF53" i="21"/>
  <c r="AF52" i="21"/>
  <c r="P180" i="21"/>
  <c r="P178" i="21"/>
  <c r="N147" i="1"/>
  <c r="L29" i="5"/>
  <c r="M140" i="23"/>
  <c r="M133" i="23"/>
  <c r="M135" i="23"/>
  <c r="M136" i="23"/>
  <c r="S31" i="23" l="1"/>
  <c r="AA32" i="23"/>
  <c r="X24" i="23"/>
  <c r="AE39" i="23" s="1"/>
  <c r="T31" i="23"/>
  <c r="AJ32" i="23"/>
  <c r="L130" i="23"/>
  <c r="M33" i="23"/>
  <c r="M75" i="23"/>
  <c r="AA52" i="23"/>
  <c r="M78" i="23"/>
  <c r="AA54" i="23"/>
  <c r="M183" i="23"/>
  <c r="N183" i="23"/>
  <c r="E53" i="22"/>
  <c r="AA32" i="22"/>
  <c r="AJ32" i="22"/>
  <c r="S31" i="22"/>
  <c r="X24" i="22"/>
  <c r="M183" i="22"/>
  <c r="N183" i="22"/>
  <c r="AA52" i="22"/>
  <c r="AA54" i="22"/>
  <c r="L130" i="22"/>
  <c r="M78" i="22"/>
  <c r="M75" i="22"/>
  <c r="X24" i="21"/>
  <c r="AF32" i="21" s="1"/>
  <c r="N183" i="21"/>
  <c r="M183" i="21"/>
  <c r="AA32" i="21"/>
  <c r="AJ32" i="21"/>
  <c r="M78" i="21"/>
  <c r="M75" i="21"/>
  <c r="AA52" i="21"/>
  <c r="S31" i="21"/>
  <c r="E53" i="21"/>
  <c r="M185" i="21"/>
  <c r="AA54" i="21"/>
  <c r="V73" i="3"/>
  <c r="X73" i="3" s="1"/>
  <c r="V69" i="3"/>
  <c r="X69" i="3" s="1"/>
  <c r="V71" i="3"/>
  <c r="X71" i="3" s="1"/>
  <c r="V15" i="3"/>
  <c r="X15" i="3" s="1"/>
  <c r="Z52" i="21" l="1"/>
  <c r="AI39" i="23"/>
  <c r="AJ39" i="23"/>
  <c r="AA39" i="23"/>
  <c r="Z39" i="23"/>
  <c r="X32" i="23"/>
  <c r="AG32" i="23"/>
  <c r="Y39" i="23"/>
  <c r="W39" i="23"/>
  <c r="X39" i="23"/>
  <c r="Z52" i="23"/>
  <c r="AF32" i="23"/>
  <c r="W32" i="23"/>
  <c r="AF39" i="23"/>
  <c r="W39" i="22"/>
  <c r="Z39" i="22"/>
  <c r="AE39" i="22"/>
  <c r="X39" i="22"/>
  <c r="Y39" i="22"/>
  <c r="AA39" i="22"/>
  <c r="AJ39" i="22"/>
  <c r="AF39" i="22"/>
  <c r="AI39" i="22"/>
  <c r="AG32" i="22"/>
  <c r="X32" i="22"/>
  <c r="AF32" i="22"/>
  <c r="W32" i="22"/>
  <c r="Z52" i="22"/>
  <c r="Y39" i="21"/>
  <c r="AG32" i="21"/>
  <c r="AA39" i="21"/>
  <c r="AF39" i="21"/>
  <c r="X39" i="21"/>
  <c r="AJ39" i="21"/>
  <c r="W32" i="21"/>
  <c r="AE39" i="21"/>
  <c r="Z39" i="21"/>
  <c r="X32" i="21"/>
  <c r="W39" i="21"/>
  <c r="AI39" i="21"/>
  <c r="O158" i="1"/>
  <c r="N158" i="1"/>
  <c r="N157" i="1"/>
  <c r="M157" i="1"/>
  <c r="E38" i="1" l="1"/>
  <c r="F38" i="1" l="1"/>
  <c r="C266" i="1"/>
  <c r="C250" i="1"/>
  <c r="C232" i="1"/>
  <c r="K18" i="17" l="1"/>
  <c r="K17" i="17"/>
  <c r="N162" i="1" l="1"/>
  <c r="H70" i="1"/>
  <c r="O70" i="1"/>
  <c r="K9" i="18" l="1"/>
  <c r="M15" i="18"/>
  <c r="N14" i="18"/>
  <c r="M14" i="18"/>
  <c r="N13" i="18"/>
  <c r="M13" i="18"/>
  <c r="N12" i="18"/>
  <c r="M12" i="18"/>
  <c r="L12" i="18"/>
  <c r="F216" i="1" l="1"/>
  <c r="M216" i="1" s="1"/>
  <c r="F215" i="23"/>
  <c r="M215" i="23" s="1"/>
  <c r="F215" i="21"/>
  <c r="M215" i="21" s="1"/>
  <c r="F215" i="22"/>
  <c r="M215" i="22" s="1"/>
  <c r="F216" i="23"/>
  <c r="M216" i="23" s="1"/>
  <c r="F216" i="22"/>
  <c r="M216" i="22" s="1"/>
  <c r="F216" i="21"/>
  <c r="M216" i="21" s="1"/>
  <c r="F214" i="1"/>
  <c r="M214" i="1" s="1"/>
  <c r="F214" i="22"/>
  <c r="M214" i="22" s="1"/>
  <c r="F214" i="21"/>
  <c r="M214" i="21" s="1"/>
  <c r="F214" i="23"/>
  <c r="M214" i="23" s="1"/>
  <c r="F215" i="1"/>
  <c r="M215" i="1" s="1"/>
  <c r="E30" i="1"/>
  <c r="G29" i="1"/>
  <c r="E29" i="1"/>
  <c r="O2" i="1"/>
  <c r="G112" i="3"/>
  <c r="O143" i="21"/>
  <c r="N160" i="22"/>
  <c r="N140" i="21"/>
  <c r="N148" i="21"/>
  <c r="O133" i="22"/>
  <c r="O160" i="21"/>
  <c r="N135" i="21"/>
  <c r="N135" i="22"/>
  <c r="O136" i="22"/>
  <c r="O160" i="22"/>
  <c r="N148" i="22"/>
  <c r="N149" i="22"/>
  <c r="N134" i="22"/>
  <c r="N134" i="21"/>
  <c r="N136" i="22"/>
  <c r="N133" i="22"/>
  <c r="N149" i="21"/>
  <c r="O143" i="22"/>
  <c r="N160" i="21"/>
  <c r="N136" i="21"/>
  <c r="N143" i="22"/>
  <c r="N133" i="21"/>
  <c r="O136" i="21"/>
  <c r="O134" i="21"/>
  <c r="O133" i="21"/>
  <c r="N140" i="22"/>
  <c r="N143" i="21"/>
  <c r="O134" i="22"/>
  <c r="O140" i="22"/>
  <c r="O140" i="21"/>
  <c r="O135" i="21"/>
  <c r="O135" i="22"/>
  <c r="Z80" i="22" l="1"/>
  <c r="AA80" i="22"/>
  <c r="M222" i="22"/>
  <c r="AD63" i="23"/>
  <c r="AD79" i="23"/>
  <c r="AD68" i="23"/>
  <c r="AD65" i="23"/>
  <c r="AD81" i="23"/>
  <c r="AD73" i="23"/>
  <c r="AD77" i="23"/>
  <c r="AD64" i="23"/>
  <c r="AD80" i="23"/>
  <c r="AD76" i="23"/>
  <c r="AD72" i="23"/>
  <c r="AD82" i="23"/>
  <c r="AD66" i="23"/>
  <c r="AD67" i="23"/>
  <c r="AD74" i="23"/>
  <c r="AD70" i="23"/>
  <c r="AD75" i="23"/>
  <c r="AD69" i="23"/>
  <c r="AD78" i="23"/>
  <c r="AD71" i="23"/>
  <c r="AD62" i="23"/>
  <c r="AA80" i="23"/>
  <c r="M222" i="23"/>
  <c r="Z80" i="23"/>
  <c r="AD67" i="21"/>
  <c r="AD75" i="21"/>
  <c r="AD80" i="21"/>
  <c r="AD71" i="21"/>
  <c r="AD68" i="21"/>
  <c r="AD72" i="21"/>
  <c r="AD77" i="21"/>
  <c r="AD69" i="21"/>
  <c r="AD63" i="21"/>
  <c r="AD82" i="21"/>
  <c r="AD73" i="21"/>
  <c r="AD76" i="21"/>
  <c r="AD79" i="21"/>
  <c r="AD78" i="21"/>
  <c r="AD81" i="21"/>
  <c r="AD64" i="21"/>
  <c r="AD74" i="21"/>
  <c r="AD62" i="21"/>
  <c r="AD70" i="21"/>
  <c r="AD66" i="21"/>
  <c r="AD65" i="21"/>
  <c r="M222" i="21"/>
  <c r="Z80" i="21"/>
  <c r="AA80" i="21"/>
  <c r="AD62" i="22"/>
  <c r="AD68" i="22"/>
  <c r="AD73" i="22"/>
  <c r="AD67" i="22"/>
  <c r="AD64" i="22"/>
  <c r="AD75" i="22"/>
  <c r="AD66" i="22"/>
  <c r="AD71" i="22"/>
  <c r="AD63" i="22"/>
  <c r="AD82" i="22"/>
  <c r="AD74" i="22"/>
  <c r="AD70" i="22"/>
  <c r="AD79" i="22"/>
  <c r="AD78" i="22"/>
  <c r="AD80" i="22"/>
  <c r="AD81" i="22"/>
  <c r="AD72" i="22"/>
  <c r="AD69" i="22"/>
  <c r="AD77" i="22"/>
  <c r="AD76" i="22"/>
  <c r="AD65" i="22"/>
  <c r="N167" i="22"/>
  <c r="N33" i="22"/>
  <c r="O69" i="22"/>
  <c r="N156" i="22"/>
  <c r="N155" i="22"/>
  <c r="N146" i="22"/>
  <c r="N138" i="22" s="1"/>
  <c r="N34" i="22"/>
  <c r="F65" i="22" s="1"/>
  <c r="O47" i="22"/>
  <c r="G45" i="22"/>
  <c r="Z35" i="22"/>
  <c r="V35" i="22"/>
  <c r="W35" i="22"/>
  <c r="G47" i="22"/>
  <c r="AA35" i="22"/>
  <c r="O34" i="22"/>
  <c r="O156" i="22"/>
  <c r="Y35" i="22"/>
  <c r="X35" i="22"/>
  <c r="O33" i="22"/>
  <c r="O167" i="22"/>
  <c r="O169" i="22" s="1"/>
  <c r="G169" i="22" s="1"/>
  <c r="N150" i="22"/>
  <c r="X35" i="21"/>
  <c r="O47" i="21"/>
  <c r="G45" i="21"/>
  <c r="O34" i="21"/>
  <c r="G47" i="21"/>
  <c r="Z35" i="21"/>
  <c r="V35" i="21"/>
  <c r="Y35" i="21"/>
  <c r="AA35" i="21"/>
  <c r="W35" i="21"/>
  <c r="O156" i="21"/>
  <c r="N156" i="21"/>
  <c r="N146" i="21"/>
  <c r="N138" i="21" s="1"/>
  <c r="N155" i="21"/>
  <c r="N34" i="21"/>
  <c r="H65" i="21" s="1"/>
  <c r="N150" i="21"/>
  <c r="N167" i="21"/>
  <c r="N33" i="21"/>
  <c r="O69" i="21"/>
  <c r="O33" i="21"/>
  <c r="O167" i="21"/>
  <c r="O169" i="21" s="1"/>
  <c r="G169" i="21" s="1"/>
  <c r="S35" i="1"/>
  <c r="M165" i="1"/>
  <c r="M162" i="1"/>
  <c r="M258" i="1"/>
  <c r="M224" i="1"/>
  <c r="O165" i="1"/>
  <c r="N165" i="1"/>
  <c r="N139" i="1"/>
  <c r="N141" i="1"/>
  <c r="H65" i="22" l="1"/>
  <c r="Y93" i="22"/>
  <c r="U93" i="22"/>
  <c r="G225" i="22"/>
  <c r="W40" i="22"/>
  <c r="AA40" i="22"/>
  <c r="V40" i="22"/>
  <c r="N169" i="22"/>
  <c r="N168" i="22"/>
  <c r="AA38" i="22"/>
  <c r="W38" i="22"/>
  <c r="V38" i="22"/>
  <c r="M236" i="22"/>
  <c r="G145" i="22"/>
  <c r="G147" i="22" s="1"/>
  <c r="Z51" i="22"/>
  <c r="F47" i="22"/>
  <c r="Y40" i="22"/>
  <c r="AA53" i="22"/>
  <c r="N46" i="22"/>
  <c r="F44" i="22"/>
  <c r="Z53" i="22"/>
  <c r="N47" i="22"/>
  <c r="F46" i="22"/>
  <c r="X40" i="22"/>
  <c r="X38" i="22"/>
  <c r="X33" i="22"/>
  <c r="AA51" i="22"/>
  <c r="F45" i="22"/>
  <c r="AA33" i="22"/>
  <c r="W33" i="22"/>
  <c r="Y38" i="22"/>
  <c r="AC95" i="22"/>
  <c r="Z38" i="22"/>
  <c r="Z33" i="22"/>
  <c r="V33" i="22"/>
  <c r="Z40" i="22"/>
  <c r="Y33" i="22"/>
  <c r="P151" i="22"/>
  <c r="M199" i="22"/>
  <c r="O68" i="22"/>
  <c r="P69" i="22"/>
  <c r="AA38" i="21"/>
  <c r="W38" i="21"/>
  <c r="V38" i="21"/>
  <c r="M199" i="21"/>
  <c r="O68" i="21"/>
  <c r="P69" i="21"/>
  <c r="M236" i="21"/>
  <c r="G145" i="21"/>
  <c r="G147" i="21" s="1"/>
  <c r="AC95" i="21"/>
  <c r="Z53" i="21"/>
  <c r="Z51" i="21"/>
  <c r="F47" i="21"/>
  <c r="Y40" i="21"/>
  <c r="AA33" i="21"/>
  <c r="W33" i="21"/>
  <c r="Z38" i="21"/>
  <c r="V33" i="21"/>
  <c r="N46" i="21"/>
  <c r="F44" i="21"/>
  <c r="X40" i="21"/>
  <c r="Z33" i="21"/>
  <c r="N47" i="21"/>
  <c r="F45" i="21"/>
  <c r="Y38" i="21"/>
  <c r="Y33" i="21"/>
  <c r="AA53" i="21"/>
  <c r="AA51" i="21"/>
  <c r="F46" i="21"/>
  <c r="Z40" i="21"/>
  <c r="X38" i="21"/>
  <c r="X33" i="21"/>
  <c r="P151" i="21"/>
  <c r="F65" i="21"/>
  <c r="AA40" i="21"/>
  <c r="W40" i="21"/>
  <c r="V40" i="21"/>
  <c r="N168" i="21"/>
  <c r="N169" i="21"/>
  <c r="U93" i="21"/>
  <c r="Y93" i="21"/>
  <c r="G225" i="21"/>
  <c r="AE83" i="1"/>
  <c r="AE82" i="1"/>
  <c r="AE81" i="1"/>
  <c r="AE80" i="1"/>
  <c r="AE79" i="1"/>
  <c r="AE78" i="1"/>
  <c r="AE77" i="1"/>
  <c r="AE76" i="1"/>
  <c r="AE75" i="1"/>
  <c r="AE74" i="1"/>
  <c r="AE73" i="1"/>
  <c r="AE72" i="1"/>
  <c r="AE71" i="1"/>
  <c r="AE70" i="1"/>
  <c r="AE69" i="1"/>
  <c r="AE68" i="1"/>
  <c r="AE67" i="1"/>
  <c r="AE66" i="1"/>
  <c r="AE65" i="1"/>
  <c r="AE64" i="1"/>
  <c r="AE63" i="1"/>
  <c r="Y65" i="1"/>
  <c r="X65" i="1"/>
  <c r="W57" i="1"/>
  <c r="V57" i="1"/>
  <c r="W55" i="1"/>
  <c r="V55" i="1"/>
  <c r="W53" i="1"/>
  <c r="V53" i="1"/>
  <c r="W51" i="1"/>
  <c r="V51" i="1"/>
  <c r="M132" i="1"/>
  <c r="N132" i="1"/>
  <c r="O132" i="1"/>
  <c r="G153" i="21"/>
  <c r="H153" i="21"/>
  <c r="E152" i="21"/>
  <c r="H153" i="22"/>
  <c r="E152" i="22"/>
  <c r="G152" i="22"/>
  <c r="F153" i="22"/>
  <c r="G153" i="22"/>
  <c r="F152" i="21"/>
  <c r="E153" i="21"/>
  <c r="H152" i="21"/>
  <c r="G152" i="21"/>
  <c r="F152" i="22"/>
  <c r="F153" i="21"/>
  <c r="E153" i="22"/>
  <c r="H152" i="22"/>
  <c r="G38" i="21" l="1"/>
  <c r="M38" i="21" s="1"/>
  <c r="G38" i="22"/>
  <c r="M38" i="22" s="1"/>
  <c r="O147" i="22"/>
  <c r="N152" i="22"/>
  <c r="N153" i="22"/>
  <c r="O152" i="22"/>
  <c r="O153" i="22"/>
  <c r="M198" i="22"/>
  <c r="P68" i="22"/>
  <c r="G259" i="22"/>
  <c r="M256" i="22"/>
  <c r="O199" i="22"/>
  <c r="M253" i="22"/>
  <c r="O76" i="22"/>
  <c r="Y97" i="22"/>
  <c r="AC200" i="22"/>
  <c r="AC199" i="22"/>
  <c r="AC196" i="22"/>
  <c r="AC195" i="22"/>
  <c r="AC194" i="22"/>
  <c r="AC193" i="22"/>
  <c r="AC192" i="22"/>
  <c r="AC191" i="22"/>
  <c r="AC190" i="22"/>
  <c r="AC189" i="22"/>
  <c r="AC188" i="22"/>
  <c r="AC187" i="22"/>
  <c r="AC186" i="22"/>
  <c r="AC185" i="22"/>
  <c r="AC184" i="22"/>
  <c r="AC183" i="22"/>
  <c r="AC182" i="22"/>
  <c r="AC197" i="22"/>
  <c r="AC201" i="22"/>
  <c r="AC198" i="22"/>
  <c r="AC166" i="22"/>
  <c r="AC181" i="22"/>
  <c r="AC180" i="22"/>
  <c r="AC179" i="22"/>
  <c r="AC178" i="22"/>
  <c r="AC177" i="22"/>
  <c r="AC176" i="22"/>
  <c r="AC175" i="22"/>
  <c r="AC174" i="22"/>
  <c r="AC173" i="22"/>
  <c r="AC172" i="22"/>
  <c r="AC171" i="22"/>
  <c r="AC170" i="22"/>
  <c r="AC167" i="22"/>
  <c r="AC165" i="22"/>
  <c r="AC163" i="22"/>
  <c r="AC161" i="22"/>
  <c r="AC152" i="22"/>
  <c r="AC150" i="22"/>
  <c r="AC147" i="22"/>
  <c r="AC145" i="22"/>
  <c r="AC144" i="22"/>
  <c r="AC137" i="22"/>
  <c r="AC136" i="22"/>
  <c r="AC132" i="22"/>
  <c r="AC129" i="22"/>
  <c r="AC128" i="22"/>
  <c r="AC127" i="22"/>
  <c r="AC126" i="22"/>
  <c r="AC159" i="22"/>
  <c r="AC158" i="22"/>
  <c r="AC156" i="22"/>
  <c r="AC154" i="22"/>
  <c r="AC133" i="22"/>
  <c r="AC168" i="22"/>
  <c r="AC162" i="22"/>
  <c r="AC160" i="22"/>
  <c r="AC153" i="22"/>
  <c r="AC151" i="22"/>
  <c r="AC149" i="22"/>
  <c r="AC142" i="22"/>
  <c r="AC141" i="22"/>
  <c r="AC139" i="22"/>
  <c r="AC134" i="22"/>
  <c r="AC148" i="22"/>
  <c r="AC146" i="22"/>
  <c r="AC135" i="22"/>
  <c r="AC125" i="22"/>
  <c r="AC100" i="22"/>
  <c r="AC169" i="22"/>
  <c r="AC157" i="22"/>
  <c r="AC155" i="22"/>
  <c r="AC131" i="22"/>
  <c r="AC124" i="22"/>
  <c r="AC123" i="22"/>
  <c r="AC122" i="22"/>
  <c r="AC121" i="22"/>
  <c r="AC120" i="22"/>
  <c r="AC119" i="22"/>
  <c r="AC118" i="22"/>
  <c r="AC117" i="22"/>
  <c r="AC116" i="22"/>
  <c r="AC115" i="22"/>
  <c r="AC114" i="22"/>
  <c r="AC113" i="22"/>
  <c r="AC112" i="22"/>
  <c r="AC111" i="22"/>
  <c r="AC110" i="22"/>
  <c r="AC109" i="22"/>
  <c r="AC108" i="22"/>
  <c r="AC107" i="22"/>
  <c r="AC106" i="22"/>
  <c r="AC105" i="22"/>
  <c r="AC104" i="22"/>
  <c r="AC103" i="22"/>
  <c r="AC102" i="22"/>
  <c r="AC101" i="22"/>
  <c r="AC164" i="22"/>
  <c r="AC140" i="22"/>
  <c r="AC138" i="22"/>
  <c r="AC143" i="22"/>
  <c r="AC130" i="22"/>
  <c r="U197" i="22"/>
  <c r="U202" i="22"/>
  <c r="W202" i="22" s="1"/>
  <c r="U200" i="22"/>
  <c r="U185" i="22"/>
  <c r="U180" i="22"/>
  <c r="U190" i="22"/>
  <c r="U195" i="22"/>
  <c r="U176" i="22"/>
  <c r="U171" i="22"/>
  <c r="U151" i="22"/>
  <c r="U139" i="22"/>
  <c r="U167" i="22"/>
  <c r="U155" i="22"/>
  <c r="U138" i="22"/>
  <c r="U170" i="22"/>
  <c r="U152" i="22"/>
  <c r="U144" i="22"/>
  <c r="U136" i="22"/>
  <c r="U128" i="22"/>
  <c r="U133" i="22"/>
  <c r="U165" i="22"/>
  <c r="U111" i="22"/>
  <c r="U120" i="22"/>
  <c r="U104" i="22"/>
  <c r="U106" i="22"/>
  <c r="U117" i="22"/>
  <c r="U101" i="22"/>
  <c r="U118" i="22"/>
  <c r="U201" i="22"/>
  <c r="U199" i="22"/>
  <c r="U184" i="22"/>
  <c r="U179" i="22"/>
  <c r="U186" i="22"/>
  <c r="U191" i="22"/>
  <c r="U174" i="22"/>
  <c r="U164" i="22"/>
  <c r="U160" i="22"/>
  <c r="U148" i="22"/>
  <c r="U135" i="22"/>
  <c r="U178" i="22"/>
  <c r="U163" i="22"/>
  <c r="U147" i="22"/>
  <c r="U127" i="22"/>
  <c r="U100" i="22"/>
  <c r="W100" i="22" s="1"/>
  <c r="U159" i="22"/>
  <c r="U123" i="22"/>
  <c r="U107" i="22"/>
  <c r="U116" i="22"/>
  <c r="U156" i="22"/>
  <c r="U113" i="22"/>
  <c r="U110" i="22"/>
  <c r="U198" i="22"/>
  <c r="U193" i="22"/>
  <c r="U183" i="22"/>
  <c r="U182" i="22"/>
  <c r="U187" i="22"/>
  <c r="U173" i="22"/>
  <c r="U153" i="22"/>
  <c r="U149" i="22"/>
  <c r="U142" i="22"/>
  <c r="U196" i="22"/>
  <c r="U157" i="22"/>
  <c r="U146" i="22"/>
  <c r="U140" i="22"/>
  <c r="U177" i="22"/>
  <c r="U150" i="22"/>
  <c r="U126" i="22"/>
  <c r="U154" i="22"/>
  <c r="U119" i="22"/>
  <c r="U103" i="22"/>
  <c r="U112" i="22"/>
  <c r="U109" i="22"/>
  <c r="U102" i="22"/>
  <c r="U189" i="22"/>
  <c r="U181" i="22"/>
  <c r="U194" i="22"/>
  <c r="U168" i="22"/>
  <c r="U169" i="22"/>
  <c r="U192" i="22"/>
  <c r="U172" i="22"/>
  <c r="U166" i="22"/>
  <c r="U162" i="22"/>
  <c r="U141" i="22"/>
  <c r="U134" i="22"/>
  <c r="U143" i="22"/>
  <c r="U175" i="22"/>
  <c r="U161" i="22"/>
  <c r="U145" i="22"/>
  <c r="U137" i="22"/>
  <c r="U132" i="22"/>
  <c r="U129" i="22"/>
  <c r="U125" i="22"/>
  <c r="U131" i="22"/>
  <c r="U158" i="22"/>
  <c r="U130" i="22"/>
  <c r="U115" i="22"/>
  <c r="U188" i="22"/>
  <c r="U124" i="22"/>
  <c r="U108" i="22"/>
  <c r="U114" i="22"/>
  <c r="U121" i="22"/>
  <c r="U105" i="22"/>
  <c r="U122" i="22"/>
  <c r="Y193" i="22"/>
  <c r="Y189" i="22"/>
  <c r="Y185" i="22"/>
  <c r="Y180" i="22"/>
  <c r="Y176" i="22"/>
  <c r="Y172" i="22"/>
  <c r="Y167" i="22"/>
  <c r="Y168" i="22"/>
  <c r="Y156" i="22"/>
  <c r="Y133" i="22"/>
  <c r="Y149" i="22"/>
  <c r="Y142" i="22"/>
  <c r="Y202" i="22"/>
  <c r="AA202" i="22" s="1"/>
  <c r="Y148" i="22"/>
  <c r="Y140" i="22"/>
  <c r="Y131" i="22"/>
  <c r="Y163" i="22"/>
  <c r="Y145" i="22"/>
  <c r="Y124" i="22"/>
  <c r="Y120" i="22"/>
  <c r="Y116" i="22"/>
  <c r="Y112" i="22"/>
  <c r="Y108" i="22"/>
  <c r="Y104" i="22"/>
  <c r="Y152" i="22"/>
  <c r="Y144" i="22"/>
  <c r="Y125" i="22"/>
  <c r="Y166" i="22"/>
  <c r="Y196" i="22"/>
  <c r="Y192" i="22"/>
  <c r="Y188" i="22"/>
  <c r="Y184" i="22"/>
  <c r="Y179" i="22"/>
  <c r="Y175" i="22"/>
  <c r="Y171" i="22"/>
  <c r="Y169" i="22"/>
  <c r="Y154" i="22"/>
  <c r="Y164" i="22"/>
  <c r="Y141" i="22"/>
  <c r="Y157" i="22"/>
  <c r="Y143" i="22"/>
  <c r="Y135" i="22"/>
  <c r="Y130" i="22"/>
  <c r="Y132" i="22"/>
  <c r="Y123" i="22"/>
  <c r="Y119" i="22"/>
  <c r="Y115" i="22"/>
  <c r="Y111" i="22"/>
  <c r="Y107" i="22"/>
  <c r="Y103" i="22"/>
  <c r="Y195" i="22"/>
  <c r="Y191" i="22"/>
  <c r="Y187" i="22"/>
  <c r="Y183" i="22"/>
  <c r="Y198" i="22"/>
  <c r="Y199" i="22"/>
  <c r="Y178" i="22"/>
  <c r="Y174" i="22"/>
  <c r="Y170" i="22"/>
  <c r="Y165" i="22"/>
  <c r="Y159" i="22"/>
  <c r="Y162" i="22"/>
  <c r="Y153" i="22"/>
  <c r="Y134" i="22"/>
  <c r="Y155" i="22"/>
  <c r="Y146" i="22"/>
  <c r="Y138" i="22"/>
  <c r="Y122" i="22"/>
  <c r="Y118" i="22"/>
  <c r="Y114" i="22"/>
  <c r="Y110" i="22"/>
  <c r="Y106" i="22"/>
  <c r="Y102" i="22"/>
  <c r="Y161" i="22"/>
  <c r="Y128" i="22"/>
  <c r="Y137" i="22"/>
  <c r="Y100" i="22"/>
  <c r="AA100" i="22" s="1"/>
  <c r="Y127" i="22"/>
  <c r="Y129" i="22"/>
  <c r="Y194" i="22"/>
  <c r="Y190" i="22"/>
  <c r="Y186" i="22"/>
  <c r="Y182" i="22"/>
  <c r="Y197" i="22"/>
  <c r="Y201" i="22"/>
  <c r="Y181" i="22"/>
  <c r="Y177" i="22"/>
  <c r="Y173" i="22"/>
  <c r="Y200" i="22"/>
  <c r="Y158" i="22"/>
  <c r="Y160" i="22"/>
  <c r="Y151" i="22"/>
  <c r="Y139" i="22"/>
  <c r="Y147" i="22"/>
  <c r="Y121" i="22"/>
  <c r="Y117" i="22"/>
  <c r="Y113" i="22"/>
  <c r="Y109" i="22"/>
  <c r="Y105" i="22"/>
  <c r="Y101" i="22"/>
  <c r="Y136" i="22"/>
  <c r="Y126" i="22"/>
  <c r="Y150" i="22"/>
  <c r="N152" i="21"/>
  <c r="O153" i="21"/>
  <c r="N153" i="21"/>
  <c r="O152" i="21"/>
  <c r="O147" i="21"/>
  <c r="Y201" i="21"/>
  <c r="Y182" i="21"/>
  <c r="Y188" i="21"/>
  <c r="Y162" i="21"/>
  <c r="Y153" i="21"/>
  <c r="Y169" i="21"/>
  <c r="Y194" i="21"/>
  <c r="Y148" i="21"/>
  <c r="Y140" i="21"/>
  <c r="Y131" i="21"/>
  <c r="Y141" i="21"/>
  <c r="Y129" i="21"/>
  <c r="Y121" i="21"/>
  <c r="Y113" i="21"/>
  <c r="Y105" i="21"/>
  <c r="Y132" i="21"/>
  <c r="Y181" i="21"/>
  <c r="Y126" i="21"/>
  <c r="Y110" i="21"/>
  <c r="Y133" i="21"/>
  <c r="Y116" i="21"/>
  <c r="Y185" i="21"/>
  <c r="Y197" i="21"/>
  <c r="Y192" i="21"/>
  <c r="Y166" i="21"/>
  <c r="Y160" i="21"/>
  <c r="Y151" i="21"/>
  <c r="Y179" i="21"/>
  <c r="Y170" i="21"/>
  <c r="Y161" i="21"/>
  <c r="Y191" i="21"/>
  <c r="Y158" i="21"/>
  <c r="Y180" i="21"/>
  <c r="Y173" i="21"/>
  <c r="Y165" i="21"/>
  <c r="Y143" i="21"/>
  <c r="Y135" i="21"/>
  <c r="Y130" i="21"/>
  <c r="Y157" i="21"/>
  <c r="Y134" i="21"/>
  <c r="Y127" i="21"/>
  <c r="Y119" i="21"/>
  <c r="Y111" i="21"/>
  <c r="Y103" i="21"/>
  <c r="Y142" i="21"/>
  <c r="Y122" i="21"/>
  <c r="Y106" i="21"/>
  <c r="Y154" i="21"/>
  <c r="Y120" i="21"/>
  <c r="Y104" i="21"/>
  <c r="Y147" i="21"/>
  <c r="Y136" i="21"/>
  <c r="Y150" i="21"/>
  <c r="Y189" i="21"/>
  <c r="Y184" i="21"/>
  <c r="Y196" i="21"/>
  <c r="Y199" i="21"/>
  <c r="Y187" i="21"/>
  <c r="Y177" i="21"/>
  <c r="Y190" i="21"/>
  <c r="Y174" i="21"/>
  <c r="Y168" i="21"/>
  <c r="Y186" i="21"/>
  <c r="Y178" i="21"/>
  <c r="Y156" i="21"/>
  <c r="Y146" i="21"/>
  <c r="Y138" i="21"/>
  <c r="Y145" i="21"/>
  <c r="Y125" i="21"/>
  <c r="Y117" i="21"/>
  <c r="Y109" i="21"/>
  <c r="Y101" i="21"/>
  <c r="Y163" i="21"/>
  <c r="Y159" i="21"/>
  <c r="Y118" i="21"/>
  <c r="Y102" i="21"/>
  <c r="Y139" i="21"/>
  <c r="Y124" i="21"/>
  <c r="Y108" i="21"/>
  <c r="Y198" i="21"/>
  <c r="Y193" i="21"/>
  <c r="Y183" i="21"/>
  <c r="Y200" i="21"/>
  <c r="Y164" i="21"/>
  <c r="Y195" i="21"/>
  <c r="Y176" i="21"/>
  <c r="Y167" i="21"/>
  <c r="Y155" i="21"/>
  <c r="Y175" i="21"/>
  <c r="Y171" i="21"/>
  <c r="Y172" i="21"/>
  <c r="Y152" i="21"/>
  <c r="Y149" i="21"/>
  <c r="Y144" i="21"/>
  <c r="Y137" i="21"/>
  <c r="Y100" i="21"/>
  <c r="AA100" i="21" s="1"/>
  <c r="Y202" i="21"/>
  <c r="AA202" i="21" s="1"/>
  <c r="Y123" i="21"/>
  <c r="Y115" i="21"/>
  <c r="Y107" i="21"/>
  <c r="Y114" i="21"/>
  <c r="Y128" i="21"/>
  <c r="Y112" i="21"/>
  <c r="M253" i="21"/>
  <c r="O199" i="21"/>
  <c r="M256" i="21"/>
  <c r="G259" i="21"/>
  <c r="Y97" i="21"/>
  <c r="O76" i="21"/>
  <c r="U198" i="21"/>
  <c r="U187" i="21"/>
  <c r="U194" i="21"/>
  <c r="U180" i="21"/>
  <c r="U176" i="21"/>
  <c r="U172" i="21"/>
  <c r="U167" i="21"/>
  <c r="U157" i="21"/>
  <c r="U182" i="21"/>
  <c r="U163" i="21"/>
  <c r="U164" i="21"/>
  <c r="U152" i="21"/>
  <c r="U169" i="21"/>
  <c r="U158" i="21"/>
  <c r="U144" i="21"/>
  <c r="U136" i="21"/>
  <c r="U128" i="21"/>
  <c r="U124" i="21"/>
  <c r="U120" i="21"/>
  <c r="U116" i="21"/>
  <c r="U112" i="21"/>
  <c r="U108" i="21"/>
  <c r="U104" i="21"/>
  <c r="U160" i="21"/>
  <c r="U153" i="21"/>
  <c r="U143" i="21"/>
  <c r="U146" i="21"/>
  <c r="U135" i="21"/>
  <c r="U138" i="21"/>
  <c r="U100" i="21"/>
  <c r="W100" i="21" s="1"/>
  <c r="U200" i="21"/>
  <c r="U202" i="21"/>
  <c r="W202" i="21" s="1"/>
  <c r="U191" i="21"/>
  <c r="U179" i="21"/>
  <c r="U175" i="21"/>
  <c r="U171" i="21"/>
  <c r="U189" i="21"/>
  <c r="U159" i="21"/>
  <c r="U193" i="21"/>
  <c r="U151" i="21"/>
  <c r="U147" i="21"/>
  <c r="U127" i="21"/>
  <c r="U123" i="21"/>
  <c r="U119" i="21"/>
  <c r="U115" i="21"/>
  <c r="U111" i="21"/>
  <c r="U107" i="21"/>
  <c r="U103" i="21"/>
  <c r="U148" i="21"/>
  <c r="U166" i="21"/>
  <c r="U149" i="21"/>
  <c r="U141" i="21"/>
  <c r="U199" i="21"/>
  <c r="U195" i="21"/>
  <c r="U201" i="21"/>
  <c r="U186" i="21"/>
  <c r="U178" i="21"/>
  <c r="U174" i="21"/>
  <c r="U170" i="21"/>
  <c r="U165" i="21"/>
  <c r="U155" i="21"/>
  <c r="U168" i="21"/>
  <c r="U196" i="21"/>
  <c r="U156" i="21"/>
  <c r="U162" i="21"/>
  <c r="U154" i="21"/>
  <c r="U192" i="21"/>
  <c r="U150" i="21"/>
  <c r="U126" i="21"/>
  <c r="U122" i="21"/>
  <c r="U118" i="21"/>
  <c r="U114" i="21"/>
  <c r="U110" i="21"/>
  <c r="U106" i="21"/>
  <c r="U102" i="21"/>
  <c r="U140" i="21"/>
  <c r="U134" i="21"/>
  <c r="U139" i="21"/>
  <c r="U142" i="21"/>
  <c r="U130" i="21"/>
  <c r="U190" i="21"/>
  <c r="U181" i="21"/>
  <c r="U177" i="21"/>
  <c r="U173" i="21"/>
  <c r="U184" i="21"/>
  <c r="U185" i="21"/>
  <c r="U197" i="21"/>
  <c r="U183" i="21"/>
  <c r="U161" i="21"/>
  <c r="U145" i="21"/>
  <c r="U137" i="21"/>
  <c r="U132" i="21"/>
  <c r="U129" i="21"/>
  <c r="U125" i="21"/>
  <c r="U121" i="21"/>
  <c r="U117" i="21"/>
  <c r="U113" i="21"/>
  <c r="U109" i="21"/>
  <c r="U105" i="21"/>
  <c r="U101" i="21"/>
  <c r="U131" i="21"/>
  <c r="U133" i="21"/>
  <c r="U188" i="21"/>
  <c r="AC197" i="21"/>
  <c r="AC201" i="21"/>
  <c r="AC199" i="21"/>
  <c r="AC195" i="21"/>
  <c r="AC191" i="21"/>
  <c r="AC187" i="21"/>
  <c r="AC194" i="21"/>
  <c r="AC190" i="21"/>
  <c r="AC186" i="21"/>
  <c r="AC169" i="21"/>
  <c r="AC159" i="21"/>
  <c r="AC158" i="21"/>
  <c r="AC156" i="21"/>
  <c r="AC154" i="21"/>
  <c r="AC193" i="21"/>
  <c r="AC185" i="21"/>
  <c r="AC183" i="21"/>
  <c r="AC174" i="21"/>
  <c r="AC173" i="21"/>
  <c r="AC172" i="21"/>
  <c r="AC168" i="21"/>
  <c r="AC164" i="21"/>
  <c r="AC163" i="21"/>
  <c r="AC160" i="21"/>
  <c r="AC192" i="21"/>
  <c r="AC184" i="21"/>
  <c r="AC180" i="21"/>
  <c r="AC179" i="21"/>
  <c r="AC178" i="21"/>
  <c r="AC177" i="21"/>
  <c r="AC175" i="21"/>
  <c r="AC165" i="21"/>
  <c r="AC152" i="21"/>
  <c r="AC182" i="21"/>
  <c r="AC176" i="21"/>
  <c r="AC162" i="21"/>
  <c r="AC157" i="21"/>
  <c r="AC198" i="21"/>
  <c r="AC189" i="21"/>
  <c r="AC188" i="21"/>
  <c r="AC181" i="21"/>
  <c r="AC170" i="21"/>
  <c r="AC155" i="21"/>
  <c r="AC153" i="21"/>
  <c r="AC149" i="21"/>
  <c r="AC142" i="21"/>
  <c r="AC141" i="21"/>
  <c r="AC139" i="21"/>
  <c r="AC134" i="21"/>
  <c r="AC200" i="21"/>
  <c r="AC196" i="21"/>
  <c r="AC161" i="21"/>
  <c r="AC146" i="21"/>
  <c r="AC138" i="21"/>
  <c r="AC132" i="21"/>
  <c r="AC130" i="21"/>
  <c r="AC127" i="21"/>
  <c r="AC123" i="21"/>
  <c r="AC119" i="21"/>
  <c r="AC115" i="21"/>
  <c r="AC111" i="21"/>
  <c r="AC107" i="21"/>
  <c r="AC103" i="21"/>
  <c r="AC166" i="21"/>
  <c r="AC171" i="21"/>
  <c r="AC145" i="21"/>
  <c r="AC144" i="21"/>
  <c r="AC137" i="21"/>
  <c r="AC135" i="21"/>
  <c r="AC129" i="21"/>
  <c r="AC125" i="21"/>
  <c r="AC121" i="21"/>
  <c r="AC117" i="21"/>
  <c r="AC113" i="21"/>
  <c r="AC109" i="21"/>
  <c r="AC105" i="21"/>
  <c r="AC101" i="21"/>
  <c r="AC100" i="21"/>
  <c r="AC148" i="21"/>
  <c r="AC140" i="21"/>
  <c r="AC128" i="21"/>
  <c r="AC120" i="21"/>
  <c r="AC112" i="21"/>
  <c r="AC104" i="21"/>
  <c r="AC151" i="21"/>
  <c r="AC147" i="21"/>
  <c r="AC143" i="21"/>
  <c r="AC136" i="21"/>
  <c r="AC126" i="21"/>
  <c r="AC118" i="21"/>
  <c r="AC110" i="21"/>
  <c r="AC102" i="21"/>
  <c r="AC167" i="21"/>
  <c r="AC150" i="21"/>
  <c r="AC133" i="21"/>
  <c r="AC131" i="21"/>
  <c r="AC124" i="21"/>
  <c r="AC116" i="21"/>
  <c r="AC108" i="21"/>
  <c r="AC122" i="21"/>
  <c r="AC114" i="21"/>
  <c r="AC106" i="21"/>
  <c r="M198" i="21"/>
  <c r="P68" i="21"/>
  <c r="T53" i="1"/>
  <c r="T51" i="1"/>
  <c r="AC40" i="1"/>
  <c r="AC38" i="1"/>
  <c r="T40" i="1"/>
  <c r="T38" i="1"/>
  <c r="AC33" i="1"/>
  <c r="AC31" i="1"/>
  <c r="T33" i="1"/>
  <c r="Z117" i="22" l="1"/>
  <c r="AA117" i="22" s="1"/>
  <c r="V132" i="22"/>
  <c r="W132" i="22" s="1"/>
  <c r="Z150" i="22"/>
  <c r="AA150" i="22" s="1"/>
  <c r="Z105" i="22"/>
  <c r="AA105" i="22" s="1"/>
  <c r="Z121" i="22"/>
  <c r="AA121" i="22" s="1"/>
  <c r="Z160" i="22"/>
  <c r="AA160" i="22" s="1"/>
  <c r="Z177" i="22"/>
  <c r="AA177" i="22" s="1"/>
  <c r="Z182" i="22"/>
  <c r="AA182" i="22" s="1"/>
  <c r="Z129" i="22"/>
  <c r="AA129" i="22" s="1"/>
  <c r="Z128" i="22"/>
  <c r="AA128" i="22" s="1"/>
  <c r="Z110" i="22"/>
  <c r="AA110" i="22" s="1"/>
  <c r="Z138" i="22"/>
  <c r="AA138" i="22" s="1"/>
  <c r="Z153" i="22"/>
  <c r="AA153" i="22" s="1"/>
  <c r="Z170" i="22"/>
  <c r="AA170" i="22" s="1"/>
  <c r="Z198" i="22"/>
  <c r="AA198" i="22" s="1"/>
  <c r="Z195" i="22"/>
  <c r="AA195" i="22" s="1"/>
  <c r="Z115" i="22"/>
  <c r="AA115" i="22" s="1"/>
  <c r="Z130" i="22"/>
  <c r="AA130" i="22" s="1"/>
  <c r="Z141" i="22"/>
  <c r="AA141" i="22" s="1"/>
  <c r="Z171" i="22"/>
  <c r="AA171" i="22" s="1"/>
  <c r="Z188" i="22"/>
  <c r="AA188" i="22" s="1"/>
  <c r="Z125" i="22"/>
  <c r="AA125" i="22" s="1"/>
  <c r="Z108" i="22"/>
  <c r="AA108" i="22" s="1"/>
  <c r="Z124" i="22"/>
  <c r="AA124" i="22" s="1"/>
  <c r="Z140" i="22"/>
  <c r="AA140" i="22" s="1"/>
  <c r="Z149" i="22"/>
  <c r="AA149" i="22" s="1"/>
  <c r="Z167" i="22"/>
  <c r="AA167" i="22" s="1"/>
  <c r="Z185" i="22"/>
  <c r="AA185" i="22" s="1"/>
  <c r="V121" i="22"/>
  <c r="W121" i="22" s="1"/>
  <c r="V188" i="22"/>
  <c r="W188" i="22" s="1"/>
  <c r="V131" i="22"/>
  <c r="W131" i="22" s="1"/>
  <c r="V137" i="22"/>
  <c r="W137" i="22" s="1"/>
  <c r="V143" i="22"/>
  <c r="W143" i="22" s="1"/>
  <c r="V166" i="22"/>
  <c r="W166" i="22" s="1"/>
  <c r="V168" i="22"/>
  <c r="W168" i="22" s="1"/>
  <c r="V102" i="22"/>
  <c r="W102" i="22" s="1"/>
  <c r="V119" i="22"/>
  <c r="W119" i="22" s="1"/>
  <c r="V177" i="22"/>
  <c r="W177" i="22" s="1"/>
  <c r="V196" i="22"/>
  <c r="W196" i="22" s="1"/>
  <c r="V173" i="22"/>
  <c r="W173" i="22" s="1"/>
  <c r="V193" i="22"/>
  <c r="W193" i="22" s="1"/>
  <c r="V156" i="22"/>
  <c r="W156" i="22" s="1"/>
  <c r="V159" i="22"/>
  <c r="W159" i="22" s="1"/>
  <c r="V163" i="22"/>
  <c r="W163" i="22" s="1"/>
  <c r="V160" i="22"/>
  <c r="W160" i="22" s="1"/>
  <c r="V186" i="22"/>
  <c r="W186" i="22" s="1"/>
  <c r="V201" i="22"/>
  <c r="W201" i="22" s="1"/>
  <c r="V106" i="22"/>
  <c r="W106" i="22" s="1"/>
  <c r="V165" i="22"/>
  <c r="W165" i="22" s="1"/>
  <c r="V144" i="22"/>
  <c r="W144" i="22" s="1"/>
  <c r="V155" i="22"/>
  <c r="W155" i="22" s="1"/>
  <c r="V171" i="22"/>
  <c r="W171" i="22" s="1"/>
  <c r="V180" i="22"/>
  <c r="W180" i="22" s="1"/>
  <c r="V197" i="22"/>
  <c r="W197" i="22" s="1"/>
  <c r="Z101" i="22"/>
  <c r="AA101" i="22" s="1"/>
  <c r="Z173" i="22"/>
  <c r="AA173" i="22" s="1"/>
  <c r="Z106" i="22"/>
  <c r="AA106" i="22" s="1"/>
  <c r="Z168" i="22"/>
  <c r="AA168" i="22" s="1"/>
  <c r="Z126" i="22"/>
  <c r="AA126" i="22" s="1"/>
  <c r="Z109" i="22"/>
  <c r="AA109" i="22" s="1"/>
  <c r="Z147" i="22"/>
  <c r="AA147" i="22" s="1"/>
  <c r="Z158" i="22"/>
  <c r="AA158" i="22" s="1"/>
  <c r="Z181" i="22"/>
  <c r="AA181" i="22" s="1"/>
  <c r="Z186" i="22"/>
  <c r="AA186" i="22" s="1"/>
  <c r="Z127" i="22"/>
  <c r="AA127" i="22" s="1"/>
  <c r="Z161" i="22"/>
  <c r="AA161" i="22" s="1"/>
  <c r="Z114" i="22"/>
  <c r="AA114" i="22" s="1"/>
  <c r="Z146" i="22"/>
  <c r="AA146" i="22" s="1"/>
  <c r="Z162" i="22"/>
  <c r="AA162" i="22" s="1"/>
  <c r="Z174" i="22"/>
  <c r="AA174" i="22" s="1"/>
  <c r="Z183" i="22"/>
  <c r="AA183" i="22" s="1"/>
  <c r="Z103" i="22"/>
  <c r="AA103" i="22" s="1"/>
  <c r="Z119" i="22"/>
  <c r="AA119" i="22" s="1"/>
  <c r="Z135" i="22"/>
  <c r="AA135" i="22" s="1"/>
  <c r="Z164" i="22"/>
  <c r="AA164" i="22" s="1"/>
  <c r="Z175" i="22"/>
  <c r="AA175" i="22" s="1"/>
  <c r="Z192" i="22"/>
  <c r="AA192" i="22" s="1"/>
  <c r="Z144" i="22"/>
  <c r="AA144" i="22" s="1"/>
  <c r="Z112" i="22"/>
  <c r="AA112" i="22" s="1"/>
  <c r="Z145" i="22"/>
  <c r="AA145" i="22" s="1"/>
  <c r="Z148" i="22"/>
  <c r="AA148" i="22" s="1"/>
  <c r="Z133" i="22"/>
  <c r="AA133" i="22" s="1"/>
  <c r="Z172" i="22"/>
  <c r="AA172" i="22" s="1"/>
  <c r="Z189" i="22"/>
  <c r="AA189" i="22" s="1"/>
  <c r="V114" i="22"/>
  <c r="W114" i="22" s="1"/>
  <c r="V115" i="22"/>
  <c r="W115" i="22" s="1"/>
  <c r="V125" i="22"/>
  <c r="W125" i="22" s="1"/>
  <c r="V145" i="22"/>
  <c r="W145" i="22" s="1"/>
  <c r="V134" i="22"/>
  <c r="W134" i="22" s="1"/>
  <c r="V172" i="22"/>
  <c r="W172" i="22" s="1"/>
  <c r="V194" i="22"/>
  <c r="W194" i="22" s="1"/>
  <c r="V109" i="22"/>
  <c r="W109" i="22" s="1"/>
  <c r="V154" i="22"/>
  <c r="W154" i="22" s="1"/>
  <c r="V140" i="22"/>
  <c r="W140" i="22" s="1"/>
  <c r="V142" i="22"/>
  <c r="W142" i="22" s="1"/>
  <c r="V187" i="22"/>
  <c r="W187" i="22" s="1"/>
  <c r="V198" i="22"/>
  <c r="W198" i="22" s="1"/>
  <c r="V116" i="22"/>
  <c r="W116" i="22" s="1"/>
  <c r="V178" i="22"/>
  <c r="W178" i="22" s="1"/>
  <c r="V164" i="22"/>
  <c r="W164" i="22" s="1"/>
  <c r="V179" i="22"/>
  <c r="W179" i="22" s="1"/>
  <c r="V118" i="22"/>
  <c r="W118" i="22" s="1"/>
  <c r="V104" i="22"/>
  <c r="W104" i="22" s="1"/>
  <c r="V133" i="22"/>
  <c r="W133" i="22" s="1"/>
  <c r="V152" i="22"/>
  <c r="W152" i="22" s="1"/>
  <c r="V167" i="22"/>
  <c r="W167" i="22" s="1"/>
  <c r="V176" i="22"/>
  <c r="W176" i="22" s="1"/>
  <c r="V185" i="22"/>
  <c r="W185" i="22" s="1"/>
  <c r="M239" i="22"/>
  <c r="M235" i="22"/>
  <c r="O198" i="22"/>
  <c r="AC97" i="22"/>
  <c r="N76" i="22"/>
  <c r="Z197" i="22"/>
  <c r="AA197" i="22" s="1"/>
  <c r="Z180" i="22"/>
  <c r="AA180" i="22" s="1"/>
  <c r="Z136" i="22"/>
  <c r="AA136" i="22" s="1"/>
  <c r="Z113" i="22"/>
  <c r="AA113" i="22" s="1"/>
  <c r="Z139" i="22"/>
  <c r="AA139" i="22" s="1"/>
  <c r="Z200" i="22"/>
  <c r="AA200" i="22" s="1"/>
  <c r="Z201" i="22"/>
  <c r="AA201" i="22" s="1"/>
  <c r="Z190" i="22"/>
  <c r="AA190" i="22" s="1"/>
  <c r="Z102" i="22"/>
  <c r="AA102" i="22" s="1"/>
  <c r="Z118" i="22"/>
  <c r="AA118" i="22" s="1"/>
  <c r="Z155" i="22"/>
  <c r="AA155" i="22" s="1"/>
  <c r="Z159" i="22"/>
  <c r="AA159" i="22" s="1"/>
  <c r="Z178" i="22"/>
  <c r="AA178" i="22" s="1"/>
  <c r="Z187" i="22"/>
  <c r="AA187" i="22" s="1"/>
  <c r="Z107" i="22"/>
  <c r="AA107" i="22" s="1"/>
  <c r="Z123" i="22"/>
  <c r="AA123" i="22" s="1"/>
  <c r="Z143" i="22"/>
  <c r="AA143" i="22" s="1"/>
  <c r="Z154" i="22"/>
  <c r="AA154" i="22" s="1"/>
  <c r="Z179" i="22"/>
  <c r="AA179" i="22" s="1"/>
  <c r="Z196" i="22"/>
  <c r="AA196" i="22" s="1"/>
  <c r="Z152" i="22"/>
  <c r="AA152" i="22" s="1"/>
  <c r="Z116" i="22"/>
  <c r="AA116" i="22" s="1"/>
  <c r="Z163" i="22"/>
  <c r="AA163" i="22" s="1"/>
  <c r="Z156" i="22"/>
  <c r="AA156" i="22" s="1"/>
  <c r="Z176" i="22"/>
  <c r="AA176" i="22" s="1"/>
  <c r="Z193" i="22"/>
  <c r="AA193" i="22" s="1"/>
  <c r="V122" i="22"/>
  <c r="W122" i="22" s="1"/>
  <c r="V108" i="22"/>
  <c r="W108" i="22" s="1"/>
  <c r="V130" i="22"/>
  <c r="W130" i="22" s="1"/>
  <c r="V129" i="22"/>
  <c r="W129" i="22" s="1"/>
  <c r="V161" i="22"/>
  <c r="W161" i="22" s="1"/>
  <c r="V141" i="22"/>
  <c r="W141" i="22" s="1"/>
  <c r="V192" i="22"/>
  <c r="W192" i="22" s="1"/>
  <c r="V181" i="22"/>
  <c r="W181" i="22" s="1"/>
  <c r="V112" i="22"/>
  <c r="W112" i="22" s="1"/>
  <c r="V126" i="22"/>
  <c r="W126" i="22" s="1"/>
  <c r="V146" i="22"/>
  <c r="W146" i="22" s="1"/>
  <c r="V149" i="22"/>
  <c r="W149" i="22" s="1"/>
  <c r="V182" i="22"/>
  <c r="W182" i="22" s="1"/>
  <c r="V110" i="22"/>
  <c r="W110" i="22" s="1"/>
  <c r="V107" i="22"/>
  <c r="W107" i="22" s="1"/>
  <c r="V127" i="22"/>
  <c r="W127" i="22" s="1"/>
  <c r="V135" i="22"/>
  <c r="W135" i="22" s="1"/>
  <c r="V174" i="22"/>
  <c r="W174" i="22" s="1"/>
  <c r="V184" i="22"/>
  <c r="W184" i="22" s="1"/>
  <c r="V101" i="22"/>
  <c r="W101" i="22" s="1"/>
  <c r="V120" i="22"/>
  <c r="W120" i="22" s="1"/>
  <c r="V128" i="22"/>
  <c r="W128" i="22" s="1"/>
  <c r="V170" i="22"/>
  <c r="W170" i="22" s="1"/>
  <c r="V139" i="22"/>
  <c r="W139" i="22" s="1"/>
  <c r="V195" i="22"/>
  <c r="W195" i="22" s="1"/>
  <c r="V200" i="22"/>
  <c r="W200" i="22" s="1"/>
  <c r="Z151" i="22"/>
  <c r="AA151" i="22" s="1"/>
  <c r="Z194" i="22"/>
  <c r="AA194" i="22" s="1"/>
  <c r="Z137" i="22"/>
  <c r="AA137" i="22" s="1"/>
  <c r="Z122" i="22"/>
  <c r="AA122" i="22" s="1"/>
  <c r="Z134" i="22"/>
  <c r="AA134" i="22" s="1"/>
  <c r="Z165" i="22"/>
  <c r="AA165" i="22" s="1"/>
  <c r="Z199" i="22"/>
  <c r="AA199" i="22" s="1"/>
  <c r="Z191" i="22"/>
  <c r="AA191" i="22" s="1"/>
  <c r="Z111" i="22"/>
  <c r="AA111" i="22" s="1"/>
  <c r="Z132" i="22"/>
  <c r="AA132" i="22" s="1"/>
  <c r="Z157" i="22"/>
  <c r="AA157" i="22" s="1"/>
  <c r="Z169" i="22"/>
  <c r="AA169" i="22" s="1"/>
  <c r="Z184" i="22"/>
  <c r="AA184" i="22" s="1"/>
  <c r="Z166" i="22"/>
  <c r="AA166" i="22" s="1"/>
  <c r="Z104" i="22"/>
  <c r="AA104" i="22" s="1"/>
  <c r="Z120" i="22"/>
  <c r="AA120" i="22" s="1"/>
  <c r="Z131" i="22"/>
  <c r="AA131" i="22" s="1"/>
  <c r="Z142" i="22"/>
  <c r="AA142" i="22" s="1"/>
  <c r="V105" i="22"/>
  <c r="W105" i="22" s="1"/>
  <c r="V124" i="22"/>
  <c r="W124" i="22" s="1"/>
  <c r="V158" i="22"/>
  <c r="W158" i="22" s="1"/>
  <c r="V175" i="22"/>
  <c r="W175" i="22" s="1"/>
  <c r="V162" i="22"/>
  <c r="W162" i="22" s="1"/>
  <c r="V169" i="22"/>
  <c r="W169" i="22" s="1"/>
  <c r="V189" i="22"/>
  <c r="W189" i="22" s="1"/>
  <c r="V103" i="22"/>
  <c r="W103" i="22" s="1"/>
  <c r="V150" i="22"/>
  <c r="W150" i="22" s="1"/>
  <c r="V157" i="22"/>
  <c r="W157" i="22" s="1"/>
  <c r="V153" i="22"/>
  <c r="W153" i="22" s="1"/>
  <c r="V183" i="22"/>
  <c r="W183" i="22" s="1"/>
  <c r="V113" i="22"/>
  <c r="W113" i="22" s="1"/>
  <c r="V123" i="22"/>
  <c r="W123" i="22" s="1"/>
  <c r="V147" i="22"/>
  <c r="W147" i="22" s="1"/>
  <c r="V148" i="22"/>
  <c r="W148" i="22" s="1"/>
  <c r="V191" i="22"/>
  <c r="W191" i="22" s="1"/>
  <c r="V199" i="22"/>
  <c r="W199" i="22" s="1"/>
  <c r="V117" i="22"/>
  <c r="W117" i="22" s="1"/>
  <c r="V111" i="22"/>
  <c r="W111" i="22" s="1"/>
  <c r="V136" i="22"/>
  <c r="W136" i="22" s="1"/>
  <c r="V138" i="22"/>
  <c r="W138" i="22" s="1"/>
  <c r="V151" i="22"/>
  <c r="W151" i="22" s="1"/>
  <c r="V190" i="22"/>
  <c r="W190" i="22" s="1"/>
  <c r="V101" i="21"/>
  <c r="W101" i="21" s="1"/>
  <c r="V173" i="21"/>
  <c r="W173" i="21" s="1"/>
  <c r="V114" i="21"/>
  <c r="W114" i="21" s="1"/>
  <c r="V165" i="21"/>
  <c r="W165" i="21" s="1"/>
  <c r="V119" i="21"/>
  <c r="W119" i="21" s="1"/>
  <c r="V171" i="21"/>
  <c r="W171" i="21" s="1"/>
  <c r="V136" i="21"/>
  <c r="W136" i="21" s="1"/>
  <c r="Z152" i="21"/>
  <c r="AA152" i="21" s="1"/>
  <c r="Z101" i="21"/>
  <c r="AA101" i="21" s="1"/>
  <c r="Z190" i="21"/>
  <c r="AA190" i="21" s="1"/>
  <c r="Z154" i="21"/>
  <c r="AA154" i="21" s="1"/>
  <c r="Z134" i="21"/>
  <c r="AA134" i="21" s="1"/>
  <c r="Z143" i="21"/>
  <c r="AA143" i="21" s="1"/>
  <c r="Z158" i="21"/>
  <c r="AA158" i="21" s="1"/>
  <c r="Z179" i="21"/>
  <c r="AA179" i="21" s="1"/>
  <c r="Z192" i="21"/>
  <c r="AA192" i="21" s="1"/>
  <c r="Z133" i="21"/>
  <c r="AA133" i="21" s="1"/>
  <c r="Z132" i="21"/>
  <c r="AA132" i="21" s="1"/>
  <c r="Z129" i="21"/>
  <c r="AA129" i="21" s="1"/>
  <c r="Z162" i="21"/>
  <c r="AA162" i="21" s="1"/>
  <c r="V132" i="21"/>
  <c r="W132" i="21" s="1"/>
  <c r="V130" i="21"/>
  <c r="W130" i="21" s="1"/>
  <c r="V150" i="21"/>
  <c r="W150" i="21" s="1"/>
  <c r="V141" i="21"/>
  <c r="W141" i="21" s="1"/>
  <c r="V160" i="21"/>
  <c r="W160" i="21" s="1"/>
  <c r="V152" i="21"/>
  <c r="W152" i="21" s="1"/>
  <c r="V180" i="21"/>
  <c r="W180" i="21" s="1"/>
  <c r="Z107" i="21"/>
  <c r="AA107" i="21" s="1"/>
  <c r="Z155" i="21"/>
  <c r="AA155" i="21" s="1"/>
  <c r="Z198" i="21"/>
  <c r="AA198" i="21" s="1"/>
  <c r="Z145" i="21"/>
  <c r="AA145" i="21" s="1"/>
  <c r="Z196" i="21"/>
  <c r="AA196" i="21" s="1"/>
  <c r="Z103" i="21"/>
  <c r="AA103" i="21" s="1"/>
  <c r="Z148" i="21"/>
  <c r="AA148" i="21" s="1"/>
  <c r="V188" i="21"/>
  <c r="W188" i="21" s="1"/>
  <c r="V105" i="21"/>
  <c r="W105" i="21" s="1"/>
  <c r="V121" i="21"/>
  <c r="W121" i="21" s="1"/>
  <c r="V137" i="21"/>
  <c r="W137" i="21" s="1"/>
  <c r="V197" i="21"/>
  <c r="W197" i="21" s="1"/>
  <c r="V177" i="21"/>
  <c r="W177" i="21" s="1"/>
  <c r="V142" i="21"/>
  <c r="W142" i="21" s="1"/>
  <c r="V102" i="21"/>
  <c r="W102" i="21" s="1"/>
  <c r="V118" i="21"/>
  <c r="W118" i="21" s="1"/>
  <c r="V192" i="21"/>
  <c r="W192" i="21" s="1"/>
  <c r="V196" i="21"/>
  <c r="W196" i="21" s="1"/>
  <c r="V170" i="21"/>
  <c r="W170" i="21" s="1"/>
  <c r="V201" i="21"/>
  <c r="W201" i="21" s="1"/>
  <c r="V149" i="21"/>
  <c r="W149" i="21" s="1"/>
  <c r="V107" i="21"/>
  <c r="W107" i="21" s="1"/>
  <c r="V123" i="21"/>
  <c r="W123" i="21" s="1"/>
  <c r="V193" i="21"/>
  <c r="W193" i="21" s="1"/>
  <c r="V175" i="21"/>
  <c r="W175" i="21" s="1"/>
  <c r="V200" i="21"/>
  <c r="W200" i="21" s="1"/>
  <c r="V146" i="21"/>
  <c r="W146" i="21" s="1"/>
  <c r="V104" i="21"/>
  <c r="W104" i="21" s="1"/>
  <c r="V120" i="21"/>
  <c r="W120" i="21" s="1"/>
  <c r="V144" i="21"/>
  <c r="W144" i="21" s="1"/>
  <c r="V164" i="21"/>
  <c r="W164" i="21" s="1"/>
  <c r="V167" i="21"/>
  <c r="W167" i="21" s="1"/>
  <c r="V194" i="21"/>
  <c r="W194" i="21" s="1"/>
  <c r="Z112" i="21"/>
  <c r="AA112" i="21" s="1"/>
  <c r="Z115" i="21"/>
  <c r="AA115" i="21" s="1"/>
  <c r="Z137" i="21"/>
  <c r="AA137" i="21" s="1"/>
  <c r="Z172" i="21"/>
  <c r="AA172" i="21" s="1"/>
  <c r="Z167" i="21"/>
  <c r="AA167" i="21" s="1"/>
  <c r="Z200" i="21"/>
  <c r="AA200" i="21" s="1"/>
  <c r="Z108" i="21"/>
  <c r="AA108" i="21" s="1"/>
  <c r="Z118" i="21"/>
  <c r="AA118" i="21" s="1"/>
  <c r="Z109" i="21"/>
  <c r="AA109" i="21" s="1"/>
  <c r="Z138" i="21"/>
  <c r="AA138" i="21" s="1"/>
  <c r="Z186" i="21"/>
  <c r="AA186" i="21" s="1"/>
  <c r="Z177" i="21"/>
  <c r="AA177" i="21" s="1"/>
  <c r="Z184" i="21"/>
  <c r="AA184" i="21" s="1"/>
  <c r="Z147" i="21"/>
  <c r="AA147" i="21" s="1"/>
  <c r="Z106" i="21"/>
  <c r="AA106" i="21" s="1"/>
  <c r="Z111" i="21"/>
  <c r="AA111" i="21" s="1"/>
  <c r="Z157" i="21"/>
  <c r="AA157" i="21" s="1"/>
  <c r="Z165" i="21"/>
  <c r="AA165" i="21" s="1"/>
  <c r="Z191" i="21"/>
  <c r="AA191" i="21" s="1"/>
  <c r="Z151" i="21"/>
  <c r="AA151" i="21" s="1"/>
  <c r="Z197" i="21"/>
  <c r="AA197" i="21" s="1"/>
  <c r="Z110" i="21"/>
  <c r="AA110" i="21" s="1"/>
  <c r="Z105" i="21"/>
  <c r="AA105" i="21" s="1"/>
  <c r="Z141" i="21"/>
  <c r="AA141" i="21" s="1"/>
  <c r="Z194" i="21"/>
  <c r="AA194" i="21" s="1"/>
  <c r="Z188" i="21"/>
  <c r="AA188" i="21" s="1"/>
  <c r="V117" i="21"/>
  <c r="W117" i="21" s="1"/>
  <c r="V183" i="21"/>
  <c r="W183" i="21" s="1"/>
  <c r="V140" i="21"/>
  <c r="W140" i="21" s="1"/>
  <c r="V156" i="21"/>
  <c r="W156" i="21" s="1"/>
  <c r="V186" i="21"/>
  <c r="W186" i="21" s="1"/>
  <c r="V103" i="21"/>
  <c r="W103" i="21" s="1"/>
  <c r="V151" i="21"/>
  <c r="W151" i="21" s="1"/>
  <c r="V135" i="21"/>
  <c r="W135" i="21" s="1"/>
  <c r="V116" i="21"/>
  <c r="W116" i="21" s="1"/>
  <c r="V157" i="21"/>
  <c r="W157" i="21" s="1"/>
  <c r="Z164" i="21"/>
  <c r="AA164" i="21" s="1"/>
  <c r="Z102" i="21"/>
  <c r="AA102" i="21" s="1"/>
  <c r="Z178" i="21"/>
  <c r="AA178" i="21" s="1"/>
  <c r="Z136" i="21"/>
  <c r="AA136" i="21" s="1"/>
  <c r="M239" i="21"/>
  <c r="M235" i="21"/>
  <c r="O198" i="21"/>
  <c r="N76" i="21"/>
  <c r="AC97" i="21"/>
  <c r="V133" i="21"/>
  <c r="W133" i="21" s="1"/>
  <c r="V109" i="21"/>
  <c r="W109" i="21" s="1"/>
  <c r="V125" i="21"/>
  <c r="W125" i="21" s="1"/>
  <c r="V145" i="21"/>
  <c r="W145" i="21" s="1"/>
  <c r="V185" i="21"/>
  <c r="W185" i="21" s="1"/>
  <c r="V181" i="21"/>
  <c r="W181" i="21" s="1"/>
  <c r="V139" i="21"/>
  <c r="W139" i="21" s="1"/>
  <c r="V106" i="21"/>
  <c r="W106" i="21" s="1"/>
  <c r="V122" i="21"/>
  <c r="W122" i="21" s="1"/>
  <c r="V154" i="21"/>
  <c r="W154" i="21" s="1"/>
  <c r="V168" i="21"/>
  <c r="W168" i="21" s="1"/>
  <c r="V174" i="21"/>
  <c r="W174" i="21" s="1"/>
  <c r="V195" i="21"/>
  <c r="W195" i="21" s="1"/>
  <c r="V166" i="21"/>
  <c r="W166" i="21" s="1"/>
  <c r="V111" i="21"/>
  <c r="W111" i="21" s="1"/>
  <c r="V127" i="21"/>
  <c r="W127" i="21" s="1"/>
  <c r="V159" i="21"/>
  <c r="W159" i="21" s="1"/>
  <c r="V179" i="21"/>
  <c r="W179" i="21" s="1"/>
  <c r="V143" i="21"/>
  <c r="W143" i="21" s="1"/>
  <c r="V108" i="21"/>
  <c r="W108" i="21" s="1"/>
  <c r="V124" i="21"/>
  <c r="W124" i="21" s="1"/>
  <c r="V158" i="21"/>
  <c r="W158" i="21" s="1"/>
  <c r="V163" i="21"/>
  <c r="W163" i="21" s="1"/>
  <c r="V172" i="21"/>
  <c r="W172" i="21" s="1"/>
  <c r="V187" i="21"/>
  <c r="W187" i="21" s="1"/>
  <c r="Z128" i="21"/>
  <c r="AA128" i="21" s="1"/>
  <c r="Z123" i="21"/>
  <c r="AA123" i="21" s="1"/>
  <c r="Z144" i="21"/>
  <c r="AA144" i="21" s="1"/>
  <c r="Z171" i="21"/>
  <c r="AA171" i="21" s="1"/>
  <c r="Z176" i="21"/>
  <c r="AA176" i="21" s="1"/>
  <c r="Z183" i="21"/>
  <c r="AA183" i="21" s="1"/>
  <c r="Z124" i="21"/>
  <c r="AA124" i="21" s="1"/>
  <c r="Z159" i="21"/>
  <c r="AA159" i="21" s="1"/>
  <c r="Z117" i="21"/>
  <c r="AA117" i="21" s="1"/>
  <c r="Z146" i="21"/>
  <c r="AA146" i="21" s="1"/>
  <c r="Z168" i="21"/>
  <c r="AA168" i="21" s="1"/>
  <c r="Z187" i="21"/>
  <c r="AA187" i="21" s="1"/>
  <c r="Z189" i="21"/>
  <c r="AA189" i="21" s="1"/>
  <c r="Z104" i="21"/>
  <c r="AA104" i="21" s="1"/>
  <c r="Z122" i="21"/>
  <c r="AA122" i="21" s="1"/>
  <c r="Z119" i="21"/>
  <c r="AA119" i="21" s="1"/>
  <c r="Z130" i="21"/>
  <c r="AA130" i="21" s="1"/>
  <c r="Z173" i="21"/>
  <c r="AA173" i="21" s="1"/>
  <c r="Z161" i="21"/>
  <c r="AA161" i="21" s="1"/>
  <c r="Z160" i="21"/>
  <c r="AA160" i="21" s="1"/>
  <c r="Z185" i="21"/>
  <c r="AA185" i="21" s="1"/>
  <c r="Z126" i="21"/>
  <c r="AA126" i="21" s="1"/>
  <c r="Z113" i="21"/>
  <c r="AA113" i="21" s="1"/>
  <c r="Z131" i="21"/>
  <c r="AA131" i="21" s="1"/>
  <c r="Z169" i="21"/>
  <c r="AA169" i="21" s="1"/>
  <c r="Z182" i="21"/>
  <c r="AA182" i="21" s="1"/>
  <c r="V131" i="21"/>
  <c r="W131" i="21" s="1"/>
  <c r="V113" i="21"/>
  <c r="W113" i="21" s="1"/>
  <c r="V129" i="21"/>
  <c r="W129" i="21" s="1"/>
  <c r="V161" i="21"/>
  <c r="W161" i="21" s="1"/>
  <c r="V184" i="21"/>
  <c r="W184" i="21" s="1"/>
  <c r="V190" i="21"/>
  <c r="W190" i="21" s="1"/>
  <c r="V134" i="21"/>
  <c r="W134" i="21" s="1"/>
  <c r="V110" i="21"/>
  <c r="W110" i="21" s="1"/>
  <c r="V126" i="21"/>
  <c r="W126" i="21" s="1"/>
  <c r="V162" i="21"/>
  <c r="W162" i="21" s="1"/>
  <c r="V155" i="21"/>
  <c r="W155" i="21" s="1"/>
  <c r="V178" i="21"/>
  <c r="W178" i="21" s="1"/>
  <c r="V199" i="21"/>
  <c r="W199" i="21" s="1"/>
  <c r="V148" i="21"/>
  <c r="W148" i="21" s="1"/>
  <c r="V115" i="21"/>
  <c r="W115" i="21" s="1"/>
  <c r="V147" i="21"/>
  <c r="W147" i="21" s="1"/>
  <c r="V189" i="21"/>
  <c r="W189" i="21" s="1"/>
  <c r="V191" i="21"/>
  <c r="W191" i="21" s="1"/>
  <c r="V138" i="21"/>
  <c r="W138" i="21" s="1"/>
  <c r="V153" i="21"/>
  <c r="W153" i="21" s="1"/>
  <c r="V112" i="21"/>
  <c r="W112" i="21" s="1"/>
  <c r="V128" i="21"/>
  <c r="W128" i="21" s="1"/>
  <c r="V169" i="21"/>
  <c r="W169" i="21" s="1"/>
  <c r="V182" i="21"/>
  <c r="W182" i="21" s="1"/>
  <c r="V176" i="21"/>
  <c r="W176" i="21" s="1"/>
  <c r="V198" i="21"/>
  <c r="W198" i="21" s="1"/>
  <c r="Z114" i="21"/>
  <c r="AA114" i="21" s="1"/>
  <c r="Z149" i="21"/>
  <c r="AA149" i="21" s="1"/>
  <c r="Z175" i="21"/>
  <c r="AA175" i="21" s="1"/>
  <c r="Z195" i="21"/>
  <c r="AA195" i="21" s="1"/>
  <c r="Z193" i="21"/>
  <c r="AA193" i="21" s="1"/>
  <c r="Z139" i="21"/>
  <c r="AA139" i="21" s="1"/>
  <c r="Z163" i="21"/>
  <c r="AA163" i="21" s="1"/>
  <c r="Z125" i="21"/>
  <c r="AA125" i="21" s="1"/>
  <c r="Z156" i="21"/>
  <c r="AA156" i="21" s="1"/>
  <c r="Z174" i="21"/>
  <c r="AA174" i="21" s="1"/>
  <c r="Z199" i="21"/>
  <c r="AA199" i="21" s="1"/>
  <c r="Z150" i="21"/>
  <c r="AA150" i="21" s="1"/>
  <c r="Z120" i="21"/>
  <c r="AA120" i="21" s="1"/>
  <c r="Z142" i="21"/>
  <c r="AA142" i="21" s="1"/>
  <c r="Z127" i="21"/>
  <c r="AA127" i="21" s="1"/>
  <c r="Z135" i="21"/>
  <c r="AA135" i="21" s="1"/>
  <c r="Z180" i="21"/>
  <c r="AA180" i="21" s="1"/>
  <c r="Z170" i="21"/>
  <c r="AA170" i="21" s="1"/>
  <c r="Z166" i="21"/>
  <c r="AA166" i="21" s="1"/>
  <c r="Z116" i="21"/>
  <c r="AA116" i="21" s="1"/>
  <c r="Z181" i="21"/>
  <c r="AA181" i="21" s="1"/>
  <c r="Z121" i="21"/>
  <c r="AA121" i="21" s="1"/>
  <c r="Z140" i="21"/>
  <c r="AA140" i="21" s="1"/>
  <c r="Z153" i="21"/>
  <c r="AA153" i="21" s="1"/>
  <c r="Z201" i="21"/>
  <c r="AA201" i="21" s="1"/>
  <c r="P175" i="1"/>
  <c r="P184" i="1" s="1"/>
  <c r="O175" i="1"/>
  <c r="O184" i="1" s="1"/>
  <c r="N175" i="1"/>
  <c r="N184" i="1" s="1"/>
  <c r="M175" i="1"/>
  <c r="M184" i="1" s="1"/>
  <c r="N172" i="1"/>
  <c r="M172" i="1"/>
  <c r="O161" i="1"/>
  <c r="N161" i="1"/>
  <c r="N2" i="1"/>
  <c r="M2" i="1"/>
  <c r="N180" i="1" l="1"/>
  <c r="M180" i="1"/>
  <c r="P179" i="1"/>
  <c r="O179" i="1"/>
  <c r="N179" i="1"/>
  <c r="M179" i="1"/>
  <c r="N178" i="1"/>
  <c r="M178" i="1"/>
  <c r="P177" i="1"/>
  <c r="O177" i="1"/>
  <c r="N177" i="1"/>
  <c r="M177" i="1"/>
  <c r="P176" i="1"/>
  <c r="O176" i="1"/>
  <c r="N176" i="1"/>
  <c r="M176" i="1"/>
  <c r="AC47" i="1" l="1"/>
  <c r="AA9" i="4" l="1"/>
  <c r="N60" i="1"/>
  <c r="O60" i="1"/>
  <c r="P60" i="1"/>
  <c r="M60" i="1"/>
  <c r="N64" i="1"/>
  <c r="O64" i="1"/>
  <c r="P64" i="1"/>
  <c r="M64" i="1"/>
  <c r="M257" i="1" l="1"/>
  <c r="M223" i="1"/>
  <c r="N192" i="1" l="1"/>
  <c r="O192" i="1"/>
  <c r="P192" i="1"/>
  <c r="N193" i="1"/>
  <c r="O193" i="1"/>
  <c r="P193" i="1"/>
  <c r="N194" i="1"/>
  <c r="O194" i="1"/>
  <c r="P194" i="1"/>
  <c r="N195" i="1"/>
  <c r="O195" i="1"/>
  <c r="P195" i="1"/>
  <c r="M195" i="1"/>
  <c r="M194" i="1"/>
  <c r="M193" i="1"/>
  <c r="M192" i="1"/>
  <c r="F50" i="1"/>
  <c r="E50" i="1"/>
  <c r="N197" i="1"/>
  <c r="O67" i="1" l="1"/>
  <c r="V52" i="1"/>
  <c r="X51" i="1"/>
  <c r="W52" i="1"/>
  <c r="X53" i="1"/>
  <c r="W54" i="1"/>
  <c r="V54" i="1"/>
  <c r="G75" i="1"/>
  <c r="M43" i="1"/>
  <c r="M42" i="1"/>
  <c r="N199" i="1"/>
  <c r="N198" i="1"/>
  <c r="M182" i="1"/>
  <c r="N182" i="1"/>
  <c r="M174" i="1"/>
  <c r="M181" i="1"/>
  <c r="N174" i="1"/>
  <c r="N181" i="1"/>
  <c r="N173" i="1"/>
  <c r="M173" i="1"/>
  <c r="P67" i="1"/>
  <c r="M76" i="1" s="1"/>
  <c r="E49" i="1"/>
  <c r="T31" i="1" l="1"/>
  <c r="E53" i="1"/>
  <c r="S31" i="1"/>
  <c r="L130" i="1"/>
  <c r="M78" i="1"/>
  <c r="M75" i="1"/>
  <c r="M183" i="1"/>
  <c r="N183" i="1"/>
  <c r="W8" i="4"/>
  <c r="AA32" i="1" l="1"/>
  <c r="AJ32" i="1"/>
  <c r="X24" i="1"/>
  <c r="K9" i="9"/>
  <c r="G103" i="3"/>
  <c r="G79" i="3"/>
  <c r="G62" i="3"/>
  <c r="G50" i="3"/>
  <c r="M167" i="23" l="1"/>
  <c r="M168" i="23" s="1"/>
  <c r="E168" i="23" s="1"/>
  <c r="M134" i="23"/>
  <c r="M134" i="22"/>
  <c r="M167" i="22"/>
  <c r="M168" i="22" s="1"/>
  <c r="E168" i="22" s="1"/>
  <c r="M134" i="21"/>
  <c r="M167" i="21"/>
  <c r="M168" i="21" s="1"/>
  <c r="E168" i="21" s="1"/>
  <c r="AA39" i="1"/>
  <c r="X39" i="1"/>
  <c r="Y39" i="1"/>
  <c r="W39" i="1"/>
  <c r="Z52" i="1"/>
  <c r="AA52" i="1"/>
  <c r="AG32" i="1"/>
  <c r="X32" i="1"/>
  <c r="AF32" i="1"/>
  <c r="W32" i="1"/>
  <c r="AE39" i="1"/>
  <c r="AJ39" i="1"/>
  <c r="AF39" i="1"/>
  <c r="Z39" i="1"/>
  <c r="AI39" i="1"/>
  <c r="AJ40" i="1"/>
  <c r="AJ38" i="1"/>
  <c r="AJ33" i="1"/>
  <c r="AJ31" i="1"/>
  <c r="P170" i="1"/>
  <c r="AA81" i="1" l="1"/>
  <c r="Z81" i="1"/>
  <c r="AI40" i="1" l="1"/>
  <c r="AH40" i="1"/>
  <c r="AG40" i="1"/>
  <c r="AF40" i="1"/>
  <c r="AE40" i="1"/>
  <c r="AI38" i="1"/>
  <c r="AH38" i="1"/>
  <c r="AG38" i="1"/>
  <c r="AF38" i="1"/>
  <c r="AE38" i="1"/>
  <c r="P53" i="1"/>
  <c r="O53" i="1"/>
  <c r="AD69" i="1" l="1"/>
  <c r="AD66" i="1"/>
  <c r="AD82" i="1"/>
  <c r="AD79" i="1"/>
  <c r="AD76" i="1"/>
  <c r="AD71" i="1"/>
  <c r="AD68" i="1"/>
  <c r="AD75" i="1"/>
  <c r="AD73" i="1"/>
  <c r="AD70" i="1"/>
  <c r="AD67" i="1"/>
  <c r="AD64" i="1"/>
  <c r="AD80" i="1"/>
  <c r="AD63" i="1"/>
  <c r="AD77" i="1"/>
  <c r="AD74" i="1"/>
  <c r="AD65" i="1"/>
  <c r="AD81" i="1"/>
  <c r="AD78" i="1"/>
  <c r="AD72" i="1"/>
  <c r="O180" i="1"/>
  <c r="O178" i="1"/>
  <c r="P180" i="1"/>
  <c r="P178" i="1"/>
  <c r="W71" i="1"/>
  <c r="W68" i="1"/>
  <c r="V68" i="1"/>
  <c r="Q9" i="14"/>
  <c r="N9" i="14"/>
  <c r="K9" i="14"/>
  <c r="AC35" i="1" l="1"/>
  <c r="T35" i="1"/>
  <c r="F53" i="1"/>
  <c r="AJ35" i="1"/>
  <c r="AH35" i="1"/>
  <c r="AF35" i="1"/>
  <c r="AE35" i="1"/>
  <c r="AI35" i="1"/>
  <c r="AG35" i="1"/>
  <c r="AI33" i="1" l="1"/>
  <c r="AH33" i="1"/>
  <c r="AG33" i="1"/>
  <c r="AF33" i="1"/>
  <c r="AE33" i="1"/>
  <c r="AI31" i="1"/>
  <c r="AH31" i="1"/>
  <c r="AG31" i="1"/>
  <c r="AF31" i="1"/>
  <c r="AE31" i="1"/>
  <c r="N145" i="1" l="1"/>
  <c r="O145" i="1"/>
  <c r="M145" i="1"/>
  <c r="K9" i="13" l="1"/>
  <c r="G13" i="3"/>
  <c r="M136" i="1"/>
  <c r="M135" i="1"/>
  <c r="M140" i="1"/>
  <c r="M133" i="1"/>
  <c r="M134" i="1"/>
  <c r="O143" i="23"/>
  <c r="N160" i="23"/>
  <c r="N148" i="23"/>
  <c r="N143" i="23"/>
  <c r="N136" i="23"/>
  <c r="O134" i="1"/>
  <c r="O134" i="23"/>
  <c r="N134" i="23"/>
  <c r="N140" i="1"/>
  <c r="N149" i="1"/>
  <c r="O133" i="23"/>
  <c r="N133" i="1"/>
  <c r="O133" i="1"/>
  <c r="N136" i="1"/>
  <c r="N135" i="23"/>
  <c r="O135" i="23"/>
  <c r="N134" i="1"/>
  <c r="O143" i="1"/>
  <c r="O160" i="1"/>
  <c r="N133" i="23"/>
  <c r="O136" i="23"/>
  <c r="O136" i="1"/>
  <c r="O160" i="23"/>
  <c r="N148" i="1"/>
  <c r="O140" i="23"/>
  <c r="N143" i="1"/>
  <c r="N140" i="23"/>
  <c r="N135" i="1"/>
  <c r="N160" i="1"/>
  <c r="O140" i="1"/>
  <c r="N149" i="23"/>
  <c r="O135" i="1"/>
  <c r="N146" i="23" l="1"/>
  <c r="N138" i="23" s="1"/>
  <c r="N34" i="23"/>
  <c r="N155" i="23"/>
  <c r="N156" i="23"/>
  <c r="N167" i="23"/>
  <c r="N33" i="23"/>
  <c r="O167" i="23"/>
  <c r="O169" i="23" s="1"/>
  <c r="G169" i="23" s="1"/>
  <c r="O33" i="23"/>
  <c r="O69" i="23"/>
  <c r="W35" i="23"/>
  <c r="O34" i="23"/>
  <c r="X35" i="23"/>
  <c r="Z35" i="23"/>
  <c r="AA35" i="23"/>
  <c r="V35" i="23"/>
  <c r="O156" i="23"/>
  <c r="O47" i="23"/>
  <c r="Y35" i="23"/>
  <c r="G45" i="23"/>
  <c r="G47" i="23"/>
  <c r="N150" i="23"/>
  <c r="M143" i="22"/>
  <c r="E46" i="22" s="1"/>
  <c r="M143" i="23"/>
  <c r="M167" i="1"/>
  <c r="M143" i="21"/>
  <c r="O156" i="1"/>
  <c r="G47" i="1"/>
  <c r="G45" i="1"/>
  <c r="O47" i="1"/>
  <c r="N150" i="1"/>
  <c r="O69" i="1"/>
  <c r="M143" i="1"/>
  <c r="G153" i="1"/>
  <c r="AA40" i="23" l="1"/>
  <c r="W40" i="23"/>
  <c r="V40" i="23"/>
  <c r="F65" i="23"/>
  <c r="Z51" i="23"/>
  <c r="Y38" i="23"/>
  <c r="Z40" i="23"/>
  <c r="AA51" i="23"/>
  <c r="AA53" i="23"/>
  <c r="W33" i="23"/>
  <c r="F47" i="23"/>
  <c r="Y33" i="23"/>
  <c r="X38" i="23"/>
  <c r="F44" i="23"/>
  <c r="F46" i="23"/>
  <c r="N47" i="23"/>
  <c r="M236" i="23"/>
  <c r="N46" i="23"/>
  <c r="Z33" i="23"/>
  <c r="X33" i="23"/>
  <c r="X40" i="23"/>
  <c r="Y40" i="23"/>
  <c r="Z38" i="23"/>
  <c r="G145" i="23"/>
  <c r="G147" i="23" s="1"/>
  <c r="F45" i="23"/>
  <c r="V33" i="23"/>
  <c r="Z53" i="23"/>
  <c r="AC95" i="23"/>
  <c r="AA33" i="23"/>
  <c r="P151" i="23"/>
  <c r="H65" i="23"/>
  <c r="P69" i="23"/>
  <c r="O68" i="23"/>
  <c r="M199" i="23"/>
  <c r="N168" i="23"/>
  <c r="N169" i="23"/>
  <c r="Y93" i="23"/>
  <c r="U93" i="23"/>
  <c r="G225" i="23"/>
  <c r="V38" i="23"/>
  <c r="AA38" i="23"/>
  <c r="W38" i="23"/>
  <c r="V31" i="22"/>
  <c r="Z31" i="22"/>
  <c r="G65" i="22"/>
  <c r="W31" i="22"/>
  <c r="M46" i="22"/>
  <c r="AA31" i="22"/>
  <c r="E44" i="22"/>
  <c r="E65" i="22"/>
  <c r="M160" i="22"/>
  <c r="X31" i="22"/>
  <c r="E46" i="23"/>
  <c r="G65" i="23"/>
  <c r="E44" i="23"/>
  <c r="E65" i="23"/>
  <c r="M46" i="23"/>
  <c r="M34" i="23"/>
  <c r="Y31" i="23"/>
  <c r="V31" i="23"/>
  <c r="X31" i="23"/>
  <c r="Z31" i="23"/>
  <c r="M160" i="23"/>
  <c r="W31" i="23"/>
  <c r="M155" i="23"/>
  <c r="AA31" i="23"/>
  <c r="Y31" i="22"/>
  <c r="M155" i="22"/>
  <c r="M34" i="22"/>
  <c r="M155" i="1"/>
  <c r="E44" i="1"/>
  <c r="E65" i="21"/>
  <c r="G65" i="21"/>
  <c r="E46" i="21"/>
  <c r="M34" i="21"/>
  <c r="Y31" i="21"/>
  <c r="M46" i="21"/>
  <c r="E44" i="21"/>
  <c r="X31" i="21"/>
  <c r="W31" i="21"/>
  <c r="V31" i="21"/>
  <c r="M155" i="21"/>
  <c r="AA31" i="21"/>
  <c r="Z31" i="21"/>
  <c r="M160" i="21"/>
  <c r="M46" i="1"/>
  <c r="E46" i="1"/>
  <c r="O68" i="1"/>
  <c r="P68" i="1" s="1"/>
  <c r="P69" i="1"/>
  <c r="N34" i="1"/>
  <c r="N146" i="1"/>
  <c r="N138" i="1" s="1"/>
  <c r="X35" i="1"/>
  <c r="AA35" i="1"/>
  <c r="Y35" i="1"/>
  <c r="W35" i="1"/>
  <c r="V35" i="1"/>
  <c r="Z35" i="1"/>
  <c r="O34" i="1"/>
  <c r="M199" i="1"/>
  <c r="M160" i="1"/>
  <c r="H152" i="23"/>
  <c r="H153" i="23"/>
  <c r="E152" i="1"/>
  <c r="G152" i="1"/>
  <c r="E153" i="23"/>
  <c r="H153" i="1"/>
  <c r="F152" i="1"/>
  <c r="F153" i="1"/>
  <c r="H152" i="1"/>
  <c r="E152" i="23"/>
  <c r="G153" i="23"/>
  <c r="F153" i="23"/>
  <c r="G152" i="23"/>
  <c r="F152" i="23"/>
  <c r="E153" i="1"/>
  <c r="Y198" i="23" l="1"/>
  <c r="Z198" i="23" s="1"/>
  <c r="AA198" i="23" s="1"/>
  <c r="Y190" i="23"/>
  <c r="Z190" i="23" s="1"/>
  <c r="AA190" i="23" s="1"/>
  <c r="Y173" i="23"/>
  <c r="Z173" i="23" s="1"/>
  <c r="AA173" i="23" s="1"/>
  <c r="Y137" i="23"/>
  <c r="Z137" i="23" s="1"/>
  <c r="AA137" i="23" s="1"/>
  <c r="Y120" i="23"/>
  <c r="Z120" i="23" s="1"/>
  <c r="AA120" i="23" s="1"/>
  <c r="Y104" i="23"/>
  <c r="Z104" i="23" s="1"/>
  <c r="AA104" i="23" s="1"/>
  <c r="Y139" i="23"/>
  <c r="Z139" i="23" s="1"/>
  <c r="AA139" i="23" s="1"/>
  <c r="Y194" i="23"/>
  <c r="Z194" i="23" s="1"/>
  <c r="AA194" i="23" s="1"/>
  <c r="Y176" i="23"/>
  <c r="Z176" i="23" s="1"/>
  <c r="AA176" i="23" s="1"/>
  <c r="Y183" i="23"/>
  <c r="Z183" i="23" s="1"/>
  <c r="AA183" i="23" s="1"/>
  <c r="Y172" i="23"/>
  <c r="Z172" i="23" s="1"/>
  <c r="AA172" i="23" s="1"/>
  <c r="Y123" i="23"/>
  <c r="Z123" i="23" s="1"/>
  <c r="AA123" i="23" s="1"/>
  <c r="Y107" i="23"/>
  <c r="Z107" i="23" s="1"/>
  <c r="AA107" i="23" s="1"/>
  <c r="Y153" i="23"/>
  <c r="Z153" i="23" s="1"/>
  <c r="AA153" i="23" s="1"/>
  <c r="Y192" i="23"/>
  <c r="Z192" i="23" s="1"/>
  <c r="AA192" i="23" s="1"/>
  <c r="Y164" i="23"/>
  <c r="Z164" i="23" s="1"/>
  <c r="AA164" i="23" s="1"/>
  <c r="Y185" i="23"/>
  <c r="Z185" i="23" s="1"/>
  <c r="AA185" i="23" s="1"/>
  <c r="Y118" i="23"/>
  <c r="Z118" i="23" s="1"/>
  <c r="AA118" i="23" s="1"/>
  <c r="Y102" i="23"/>
  <c r="Z102" i="23" s="1"/>
  <c r="AA102" i="23" s="1"/>
  <c r="Y135" i="23"/>
  <c r="Z135" i="23" s="1"/>
  <c r="AA135" i="23" s="1"/>
  <c r="Y196" i="23"/>
  <c r="Z196" i="23" s="1"/>
  <c r="AA196" i="23" s="1"/>
  <c r="Y186" i="23"/>
  <c r="Z186" i="23" s="1"/>
  <c r="AA186" i="23" s="1"/>
  <c r="Y174" i="23"/>
  <c r="Z174" i="23" s="1"/>
  <c r="AA174" i="23" s="1"/>
  <c r="Y125" i="23"/>
  <c r="Z125" i="23" s="1"/>
  <c r="AA125" i="23" s="1"/>
  <c r="Y109" i="23"/>
  <c r="Z109" i="23" s="1"/>
  <c r="AA109" i="23" s="1"/>
  <c r="Y159" i="23"/>
  <c r="Z159" i="23" s="1"/>
  <c r="AA159" i="23" s="1"/>
  <c r="Y181" i="23"/>
  <c r="Z181" i="23" s="1"/>
  <c r="AA181" i="23" s="1"/>
  <c r="Y163" i="23"/>
  <c r="Z163" i="23" s="1"/>
  <c r="AA163" i="23" s="1"/>
  <c r="Y156" i="23"/>
  <c r="Z156" i="23" s="1"/>
  <c r="AA156" i="23" s="1"/>
  <c r="Y132" i="23"/>
  <c r="Z132" i="23" s="1"/>
  <c r="AA132" i="23" s="1"/>
  <c r="Y116" i="23"/>
  <c r="Z116" i="23" s="1"/>
  <c r="AA116" i="23" s="1"/>
  <c r="Y157" i="23"/>
  <c r="Z157" i="23" s="1"/>
  <c r="AA157" i="23" s="1"/>
  <c r="Y146" i="23"/>
  <c r="Z146" i="23" s="1"/>
  <c r="AA146" i="23" s="1"/>
  <c r="Y201" i="23"/>
  <c r="Z201" i="23" s="1"/>
  <c r="AA201" i="23" s="1"/>
  <c r="Y168" i="23"/>
  <c r="Z168" i="23" s="1"/>
  <c r="AA168" i="23" s="1"/>
  <c r="Y165" i="23"/>
  <c r="Z165" i="23" s="1"/>
  <c r="AA165" i="23" s="1"/>
  <c r="Y162" i="23"/>
  <c r="Z162" i="23" s="1"/>
  <c r="AA162" i="23" s="1"/>
  <c r="Y119" i="23"/>
  <c r="Z119" i="23" s="1"/>
  <c r="AA119" i="23" s="1"/>
  <c r="Y103" i="23"/>
  <c r="Z103" i="23" s="1"/>
  <c r="AA103" i="23" s="1"/>
  <c r="Y131" i="23"/>
  <c r="Z131" i="23" s="1"/>
  <c r="AA131" i="23" s="1"/>
  <c r="Y187" i="23"/>
  <c r="Z187" i="23" s="1"/>
  <c r="AA187" i="23" s="1"/>
  <c r="Y149" i="23"/>
  <c r="Z149" i="23" s="1"/>
  <c r="AA149" i="23" s="1"/>
  <c r="Y166" i="23"/>
  <c r="Z166" i="23" s="1"/>
  <c r="AA166" i="23" s="1"/>
  <c r="Y114" i="23"/>
  <c r="Z114" i="23" s="1"/>
  <c r="AA114" i="23" s="1"/>
  <c r="Y155" i="23"/>
  <c r="Z155" i="23" s="1"/>
  <c r="AA155" i="23" s="1"/>
  <c r="Y140" i="23"/>
  <c r="Z140" i="23" s="1"/>
  <c r="AA140" i="23" s="1"/>
  <c r="Y191" i="23"/>
  <c r="Z191" i="23" s="1"/>
  <c r="AA191" i="23" s="1"/>
  <c r="Y147" i="23"/>
  <c r="Z147" i="23" s="1"/>
  <c r="AA147" i="23" s="1"/>
  <c r="Y170" i="23"/>
  <c r="Z170" i="23" s="1"/>
  <c r="AA170" i="23" s="1"/>
  <c r="Y121" i="23"/>
  <c r="Z121" i="23" s="1"/>
  <c r="AA121" i="23" s="1"/>
  <c r="Y105" i="23"/>
  <c r="Z105" i="23" s="1"/>
  <c r="AA105" i="23" s="1"/>
  <c r="Y138" i="23"/>
  <c r="Z138" i="23" s="1"/>
  <c r="AA138" i="23" s="1"/>
  <c r="Y177" i="23"/>
  <c r="Z177" i="23" s="1"/>
  <c r="AA177" i="23" s="1"/>
  <c r="Y152" i="23"/>
  <c r="Z152" i="23" s="1"/>
  <c r="AA152" i="23" s="1"/>
  <c r="Y148" i="23"/>
  <c r="Z148" i="23" s="1"/>
  <c r="AA148" i="23" s="1"/>
  <c r="Y128" i="23"/>
  <c r="Z128" i="23" s="1"/>
  <c r="AA128" i="23" s="1"/>
  <c r="Y112" i="23"/>
  <c r="Z112" i="23" s="1"/>
  <c r="AA112" i="23" s="1"/>
  <c r="Y130" i="23"/>
  <c r="Z130" i="23" s="1"/>
  <c r="AA130" i="23" s="1"/>
  <c r="Y133" i="23"/>
  <c r="Z133" i="23" s="1"/>
  <c r="AA133" i="23" s="1"/>
  <c r="Y188" i="23"/>
  <c r="Z188" i="23" s="1"/>
  <c r="AA188" i="23" s="1"/>
  <c r="Y161" i="23"/>
  <c r="Z161" i="23" s="1"/>
  <c r="AA161" i="23" s="1"/>
  <c r="Y158" i="23"/>
  <c r="Z158" i="23" s="1"/>
  <c r="AA158" i="23" s="1"/>
  <c r="Y136" i="23"/>
  <c r="Z136" i="23" s="1"/>
  <c r="AA136" i="23" s="1"/>
  <c r="Y115" i="23"/>
  <c r="Z115" i="23" s="1"/>
  <c r="AA115" i="23" s="1"/>
  <c r="Y171" i="23"/>
  <c r="Z171" i="23" s="1"/>
  <c r="AA171" i="23" s="1"/>
  <c r="Y193" i="23"/>
  <c r="Z193" i="23" s="1"/>
  <c r="AA193" i="23" s="1"/>
  <c r="Y179" i="23"/>
  <c r="Z179" i="23" s="1"/>
  <c r="AA179" i="23" s="1"/>
  <c r="Y184" i="23"/>
  <c r="Z184" i="23" s="1"/>
  <c r="AA184" i="23" s="1"/>
  <c r="Y126" i="23"/>
  <c r="Z126" i="23" s="1"/>
  <c r="AA126" i="23" s="1"/>
  <c r="Y110" i="23"/>
  <c r="Z110" i="23" s="1"/>
  <c r="AA110" i="23" s="1"/>
  <c r="Y141" i="23"/>
  <c r="Z141" i="23" s="1"/>
  <c r="AA141" i="23" s="1"/>
  <c r="Y182" i="23"/>
  <c r="Z182" i="23" s="1"/>
  <c r="AA182" i="23" s="1"/>
  <c r="Y178" i="23"/>
  <c r="Z178" i="23" s="1"/>
  <c r="AA178" i="23" s="1"/>
  <c r="Y169" i="23"/>
  <c r="Z169" i="23" s="1"/>
  <c r="AA169" i="23" s="1"/>
  <c r="Y145" i="23"/>
  <c r="Z145" i="23" s="1"/>
  <c r="AA145" i="23" s="1"/>
  <c r="Y117" i="23"/>
  <c r="Z117" i="23" s="1"/>
  <c r="AA117" i="23" s="1"/>
  <c r="Y101" i="23"/>
  <c r="Z101" i="23" s="1"/>
  <c r="AA101" i="23" s="1"/>
  <c r="Y195" i="23"/>
  <c r="Z195" i="23" s="1"/>
  <c r="AA195" i="23" s="1"/>
  <c r="Y197" i="23"/>
  <c r="Z197" i="23" s="1"/>
  <c r="AA197" i="23" s="1"/>
  <c r="Y160" i="23"/>
  <c r="Z160" i="23" s="1"/>
  <c r="AA160" i="23" s="1"/>
  <c r="Y144" i="23"/>
  <c r="Z144" i="23" s="1"/>
  <c r="AA144" i="23" s="1"/>
  <c r="Y124" i="23"/>
  <c r="Z124" i="23" s="1"/>
  <c r="AA124" i="23" s="1"/>
  <c r="Y108" i="23"/>
  <c r="Z108" i="23" s="1"/>
  <c r="AA108" i="23" s="1"/>
  <c r="Y167" i="23"/>
  <c r="Z167" i="23" s="1"/>
  <c r="AA167" i="23" s="1"/>
  <c r="Y142" i="23"/>
  <c r="Z142" i="23" s="1"/>
  <c r="AA142" i="23" s="1"/>
  <c r="Y180" i="23"/>
  <c r="Z180" i="23" s="1"/>
  <c r="AA180" i="23" s="1"/>
  <c r="Y150" i="23"/>
  <c r="Z150" i="23" s="1"/>
  <c r="AA150" i="23" s="1"/>
  <c r="Y189" i="23"/>
  <c r="Z189" i="23" s="1"/>
  <c r="AA189" i="23" s="1"/>
  <c r="Y127" i="23"/>
  <c r="Z127" i="23" s="1"/>
  <c r="AA127" i="23" s="1"/>
  <c r="Y111" i="23"/>
  <c r="Z111" i="23" s="1"/>
  <c r="AA111" i="23" s="1"/>
  <c r="Y143" i="23"/>
  <c r="Z143" i="23" s="1"/>
  <c r="AA143" i="23" s="1"/>
  <c r="Y202" i="23"/>
  <c r="AA202" i="23" s="1"/>
  <c r="Y175" i="23"/>
  <c r="Z175" i="23" s="1"/>
  <c r="AA175" i="23" s="1"/>
  <c r="Y200" i="23"/>
  <c r="Z200" i="23" s="1"/>
  <c r="AA200" i="23" s="1"/>
  <c r="Y122" i="23"/>
  <c r="Z122" i="23" s="1"/>
  <c r="AA122" i="23" s="1"/>
  <c r="Y106" i="23"/>
  <c r="Z106" i="23" s="1"/>
  <c r="AA106" i="23" s="1"/>
  <c r="Y154" i="23"/>
  <c r="Z154" i="23" s="1"/>
  <c r="AA154" i="23" s="1"/>
  <c r="Y100" i="23"/>
  <c r="AA100" i="23" s="1"/>
  <c r="Y199" i="23"/>
  <c r="Z199" i="23" s="1"/>
  <c r="AA199" i="23" s="1"/>
  <c r="Y151" i="23"/>
  <c r="Z151" i="23" s="1"/>
  <c r="AA151" i="23" s="1"/>
  <c r="Y129" i="23"/>
  <c r="Z129" i="23" s="1"/>
  <c r="AA129" i="23" s="1"/>
  <c r="Y113" i="23"/>
  <c r="Z113" i="23" s="1"/>
  <c r="AA113" i="23" s="1"/>
  <c r="Y134" i="23"/>
  <c r="Z134" i="23" s="1"/>
  <c r="AA134" i="23" s="1"/>
  <c r="M256" i="23"/>
  <c r="Y97" i="23"/>
  <c r="M253" i="23"/>
  <c r="O199" i="23"/>
  <c r="G259" i="23"/>
  <c r="O76" i="23"/>
  <c r="AC190" i="23"/>
  <c r="AC189" i="23"/>
  <c r="AC182" i="23"/>
  <c r="AC188" i="23"/>
  <c r="AC178" i="23"/>
  <c r="AC174" i="23"/>
  <c r="AC170" i="23"/>
  <c r="AC155" i="23"/>
  <c r="AC191" i="23"/>
  <c r="AC156" i="23"/>
  <c r="AC169" i="23"/>
  <c r="AC158" i="23"/>
  <c r="AC140" i="23"/>
  <c r="AC130" i="23"/>
  <c r="AC147" i="23"/>
  <c r="AC124" i="23"/>
  <c r="AC153" i="23"/>
  <c r="AC133" i="23"/>
  <c r="AC134" i="23"/>
  <c r="AC114" i="23"/>
  <c r="AC123" i="23"/>
  <c r="AC121" i="23"/>
  <c r="AC101" i="23"/>
  <c r="AC108" i="23"/>
  <c r="AC125" i="23"/>
  <c r="AC200" i="23"/>
  <c r="AC186" i="23"/>
  <c r="AC185" i="23"/>
  <c r="AC201" i="23"/>
  <c r="AC181" i="23"/>
  <c r="AC177" i="23"/>
  <c r="AC173" i="23"/>
  <c r="AC167" i="23"/>
  <c r="AC148" i="23"/>
  <c r="AC166" i="23"/>
  <c r="AC152" i="23"/>
  <c r="AC164" i="23"/>
  <c r="AC151" i="23"/>
  <c r="AC138" i="23"/>
  <c r="AC100" i="23"/>
  <c r="AC145" i="23"/>
  <c r="AC120" i="23"/>
  <c r="AC150" i="23"/>
  <c r="AC168" i="23"/>
  <c r="AC126" i="23"/>
  <c r="AC110" i="23"/>
  <c r="AC115" i="23"/>
  <c r="AC113" i="23"/>
  <c r="AC127" i="23"/>
  <c r="AC105" i="23"/>
  <c r="AC117" i="23"/>
  <c r="AC199" i="23"/>
  <c r="AC196" i="23"/>
  <c r="AC184" i="23"/>
  <c r="AC198" i="23"/>
  <c r="AC180" i="23"/>
  <c r="AC176" i="23"/>
  <c r="AC172" i="23"/>
  <c r="AC165" i="23"/>
  <c r="AC146" i="23"/>
  <c r="AC163" i="23"/>
  <c r="AC195" i="23"/>
  <c r="AC161" i="23"/>
  <c r="AC149" i="23"/>
  <c r="AC135" i="23"/>
  <c r="AC159" i="23"/>
  <c r="AC132" i="23"/>
  <c r="AC116" i="23"/>
  <c r="AC144" i="23"/>
  <c r="AC141" i="23"/>
  <c r="AC122" i="23"/>
  <c r="AC106" i="23"/>
  <c r="AC103" i="23"/>
  <c r="AC107" i="23"/>
  <c r="AC119" i="23"/>
  <c r="AC139" i="23"/>
  <c r="AC109" i="23"/>
  <c r="AC197" i="23"/>
  <c r="AC194" i="23"/>
  <c r="AC183" i="23"/>
  <c r="AC192" i="23"/>
  <c r="AC179" i="23"/>
  <c r="AC175" i="23"/>
  <c r="AC171" i="23"/>
  <c r="AC157" i="23"/>
  <c r="AC193" i="23"/>
  <c r="AC162" i="23"/>
  <c r="AC187" i="23"/>
  <c r="AC160" i="23"/>
  <c r="AC143" i="23"/>
  <c r="AC131" i="23"/>
  <c r="AC154" i="23"/>
  <c r="AC128" i="23"/>
  <c r="AC112" i="23"/>
  <c r="AC142" i="23"/>
  <c r="AC137" i="23"/>
  <c r="AC118" i="23"/>
  <c r="AC102" i="23"/>
  <c r="AC129" i="23"/>
  <c r="AC104" i="23"/>
  <c r="AC111" i="23"/>
  <c r="AC136" i="23"/>
  <c r="N153" i="23"/>
  <c r="O152" i="23"/>
  <c r="O147" i="23"/>
  <c r="O153" i="23"/>
  <c r="G38" i="23"/>
  <c r="M38" i="23" s="1"/>
  <c r="U201" i="23"/>
  <c r="V201" i="23" s="1"/>
  <c r="W201" i="23" s="1"/>
  <c r="U177" i="23"/>
  <c r="V177" i="23" s="1"/>
  <c r="W177" i="23" s="1"/>
  <c r="U191" i="23"/>
  <c r="V191" i="23" s="1"/>
  <c r="W191" i="23" s="1"/>
  <c r="U125" i="23"/>
  <c r="V125" i="23" s="1"/>
  <c r="W125" i="23" s="1"/>
  <c r="U167" i="23"/>
  <c r="V167" i="23" s="1"/>
  <c r="W167" i="23" s="1"/>
  <c r="U124" i="23"/>
  <c r="V124" i="23" s="1"/>
  <c r="W124" i="23" s="1"/>
  <c r="U180" i="23"/>
  <c r="V180" i="23" s="1"/>
  <c r="W180" i="23" s="1"/>
  <c r="U195" i="23"/>
  <c r="V195" i="23" s="1"/>
  <c r="W195" i="23" s="1"/>
  <c r="U168" i="23"/>
  <c r="V168" i="23" s="1"/>
  <c r="W168" i="23" s="1"/>
  <c r="U131" i="23"/>
  <c r="V131" i="23" s="1"/>
  <c r="W131" i="23" s="1"/>
  <c r="U115" i="23"/>
  <c r="V115" i="23" s="1"/>
  <c r="W115" i="23" s="1"/>
  <c r="U112" i="23"/>
  <c r="V112" i="23" s="1"/>
  <c r="W112" i="23" s="1"/>
  <c r="U173" i="23"/>
  <c r="V173" i="23" s="1"/>
  <c r="W173" i="23" s="1"/>
  <c r="U175" i="23"/>
  <c r="V175" i="23" s="1"/>
  <c r="W175" i="23" s="1"/>
  <c r="U159" i="23"/>
  <c r="V159" i="23" s="1"/>
  <c r="W159" i="23" s="1"/>
  <c r="U147" i="23"/>
  <c r="V147" i="23" s="1"/>
  <c r="W147" i="23" s="1"/>
  <c r="U113" i="23"/>
  <c r="V113" i="23" s="1"/>
  <c r="W113" i="23" s="1"/>
  <c r="U135" i="23"/>
  <c r="V135" i="23" s="1"/>
  <c r="W135" i="23" s="1"/>
  <c r="U202" i="23"/>
  <c r="W202" i="23" s="1"/>
  <c r="U178" i="23"/>
  <c r="V178" i="23" s="1"/>
  <c r="W178" i="23" s="1"/>
  <c r="U154" i="23"/>
  <c r="V154" i="23" s="1"/>
  <c r="W154" i="23" s="1"/>
  <c r="U133" i="23"/>
  <c r="V133" i="23" s="1"/>
  <c r="W133" i="23" s="1"/>
  <c r="U142" i="23"/>
  <c r="V142" i="23" s="1"/>
  <c r="W142" i="23" s="1"/>
  <c r="U134" i="23"/>
  <c r="V134" i="23" s="1"/>
  <c r="W134" i="23" s="1"/>
  <c r="U103" i="23"/>
  <c r="V103" i="23" s="1"/>
  <c r="W103" i="23" s="1"/>
  <c r="U118" i="23"/>
  <c r="V118" i="23" s="1"/>
  <c r="W118" i="23" s="1"/>
  <c r="U196" i="23"/>
  <c r="V196" i="23" s="1"/>
  <c r="W196" i="23" s="1"/>
  <c r="U185" i="23"/>
  <c r="V185" i="23" s="1"/>
  <c r="W185" i="23" s="1"/>
  <c r="U164" i="23"/>
  <c r="V164" i="23" s="1"/>
  <c r="W164" i="23" s="1"/>
  <c r="U117" i="23"/>
  <c r="V117" i="23" s="1"/>
  <c r="W117" i="23" s="1"/>
  <c r="U161" i="23"/>
  <c r="V161" i="23" s="1"/>
  <c r="W161" i="23" s="1"/>
  <c r="U104" i="23"/>
  <c r="V104" i="23" s="1"/>
  <c r="W104" i="23" s="1"/>
  <c r="U176" i="23"/>
  <c r="V176" i="23" s="1"/>
  <c r="W176" i="23" s="1"/>
  <c r="U156" i="23"/>
  <c r="V156" i="23" s="1"/>
  <c r="W156" i="23" s="1"/>
  <c r="U100" i="23"/>
  <c r="W100" i="23" s="1"/>
  <c r="U141" i="23"/>
  <c r="V141" i="23" s="1"/>
  <c r="W141" i="23" s="1"/>
  <c r="U107" i="23"/>
  <c r="V107" i="23" s="1"/>
  <c r="W107" i="23" s="1"/>
  <c r="U128" i="23"/>
  <c r="V128" i="23" s="1"/>
  <c r="W128" i="23" s="1"/>
  <c r="U197" i="23"/>
  <c r="V197" i="23" s="1"/>
  <c r="W197" i="23" s="1"/>
  <c r="U183" i="23"/>
  <c r="V183" i="23" s="1"/>
  <c r="W183" i="23" s="1"/>
  <c r="U170" i="23"/>
  <c r="V170" i="23" s="1"/>
  <c r="W170" i="23" s="1"/>
  <c r="U136" i="23"/>
  <c r="V136" i="23" s="1"/>
  <c r="W136" i="23" s="1"/>
  <c r="U145" i="23"/>
  <c r="V145" i="23" s="1"/>
  <c r="W145" i="23" s="1"/>
  <c r="U102" i="23"/>
  <c r="V102" i="23" s="1"/>
  <c r="W102" i="23" s="1"/>
  <c r="U199" i="23"/>
  <c r="V199" i="23" s="1"/>
  <c r="W199" i="23" s="1"/>
  <c r="U182" i="23"/>
  <c r="V182" i="23" s="1"/>
  <c r="W182" i="23" s="1"/>
  <c r="U162" i="23"/>
  <c r="V162" i="23" s="1"/>
  <c r="W162" i="23" s="1"/>
  <c r="U148" i="23"/>
  <c r="V148" i="23" s="1"/>
  <c r="W148" i="23" s="1"/>
  <c r="U172" i="23"/>
  <c r="V172" i="23" s="1"/>
  <c r="W172" i="23" s="1"/>
  <c r="U127" i="23"/>
  <c r="V127" i="23" s="1"/>
  <c r="W127" i="23" s="1"/>
  <c r="U106" i="23"/>
  <c r="V106" i="23" s="1"/>
  <c r="W106" i="23" s="1"/>
  <c r="U120" i="23"/>
  <c r="V120" i="23" s="1"/>
  <c r="W120" i="23" s="1"/>
  <c r="U190" i="23"/>
  <c r="V190" i="23" s="1"/>
  <c r="W190" i="23" s="1"/>
  <c r="U169" i="23"/>
  <c r="V169" i="23" s="1"/>
  <c r="W169" i="23" s="1"/>
  <c r="U174" i="23"/>
  <c r="V174" i="23" s="1"/>
  <c r="W174" i="23" s="1"/>
  <c r="U157" i="23"/>
  <c r="V157" i="23" s="1"/>
  <c r="W157" i="23" s="1"/>
  <c r="U109" i="23"/>
  <c r="V109" i="23" s="1"/>
  <c r="W109" i="23" s="1"/>
  <c r="U110" i="23"/>
  <c r="V110" i="23" s="1"/>
  <c r="W110" i="23" s="1"/>
  <c r="U189" i="23"/>
  <c r="V189" i="23" s="1"/>
  <c r="W189" i="23" s="1"/>
  <c r="U150" i="23"/>
  <c r="V150" i="23" s="1"/>
  <c r="W150" i="23" s="1"/>
  <c r="U155" i="23"/>
  <c r="V155" i="23" s="1"/>
  <c r="W155" i="23" s="1"/>
  <c r="U130" i="23"/>
  <c r="V130" i="23" s="1"/>
  <c r="W130" i="23" s="1"/>
  <c r="U114" i="23"/>
  <c r="V114" i="23" s="1"/>
  <c r="W114" i="23" s="1"/>
  <c r="U153" i="23"/>
  <c r="V153" i="23" s="1"/>
  <c r="W153" i="23" s="1"/>
  <c r="U200" i="23"/>
  <c r="V200" i="23" s="1"/>
  <c r="W200" i="23" s="1"/>
  <c r="U193" i="23"/>
  <c r="V193" i="23" s="1"/>
  <c r="W193" i="23" s="1"/>
  <c r="U160" i="23"/>
  <c r="V160" i="23" s="1"/>
  <c r="W160" i="23" s="1"/>
  <c r="U129" i="23"/>
  <c r="V129" i="23" s="1"/>
  <c r="W129" i="23" s="1"/>
  <c r="U163" i="23"/>
  <c r="V163" i="23" s="1"/>
  <c r="W163" i="23" s="1"/>
  <c r="U116" i="23"/>
  <c r="V116" i="23" s="1"/>
  <c r="W116" i="23" s="1"/>
  <c r="U198" i="23"/>
  <c r="V198" i="23" s="1"/>
  <c r="W198" i="23" s="1"/>
  <c r="U192" i="23"/>
  <c r="V192" i="23" s="1"/>
  <c r="W192" i="23" s="1"/>
  <c r="U165" i="23"/>
  <c r="V165" i="23" s="1"/>
  <c r="W165" i="23" s="1"/>
  <c r="U140" i="23"/>
  <c r="V140" i="23" s="1"/>
  <c r="W140" i="23" s="1"/>
  <c r="U152" i="23"/>
  <c r="V152" i="23" s="1"/>
  <c r="W152" i="23" s="1"/>
  <c r="U119" i="23"/>
  <c r="V119" i="23" s="1"/>
  <c r="W119" i="23" s="1"/>
  <c r="U122" i="23"/>
  <c r="V122" i="23" s="1"/>
  <c r="W122" i="23" s="1"/>
  <c r="U139" i="23"/>
  <c r="V139" i="23" s="1"/>
  <c r="W139" i="23" s="1"/>
  <c r="U181" i="23"/>
  <c r="V181" i="23" s="1"/>
  <c r="W181" i="23" s="1"/>
  <c r="U166" i="23"/>
  <c r="V166" i="23" s="1"/>
  <c r="W166" i="23" s="1"/>
  <c r="U146" i="23"/>
  <c r="V146" i="23" s="1"/>
  <c r="W146" i="23" s="1"/>
  <c r="U132" i="23"/>
  <c r="V132" i="23" s="1"/>
  <c r="W132" i="23" s="1"/>
  <c r="U108" i="23"/>
  <c r="V108" i="23" s="1"/>
  <c r="W108" i="23" s="1"/>
  <c r="U194" i="23"/>
  <c r="V194" i="23" s="1"/>
  <c r="W194" i="23" s="1"/>
  <c r="U184" i="23"/>
  <c r="V184" i="23" s="1"/>
  <c r="W184" i="23" s="1"/>
  <c r="U187" i="23"/>
  <c r="V187" i="23" s="1"/>
  <c r="W187" i="23" s="1"/>
  <c r="U138" i="23"/>
  <c r="V138" i="23" s="1"/>
  <c r="W138" i="23" s="1"/>
  <c r="U123" i="23"/>
  <c r="V123" i="23" s="1"/>
  <c r="W123" i="23" s="1"/>
  <c r="U126" i="23"/>
  <c r="V126" i="23" s="1"/>
  <c r="W126" i="23" s="1"/>
  <c r="U101" i="23"/>
  <c r="V101" i="23" s="1"/>
  <c r="W101" i="23" s="1"/>
  <c r="U179" i="23"/>
  <c r="V179" i="23" s="1"/>
  <c r="W179" i="23" s="1"/>
  <c r="U188" i="23"/>
  <c r="V188" i="23" s="1"/>
  <c r="W188" i="23" s="1"/>
  <c r="U151" i="23"/>
  <c r="V151" i="23" s="1"/>
  <c r="W151" i="23" s="1"/>
  <c r="U121" i="23"/>
  <c r="V121" i="23" s="1"/>
  <c r="W121" i="23" s="1"/>
  <c r="U144" i="23"/>
  <c r="V144" i="23" s="1"/>
  <c r="W144" i="23" s="1"/>
  <c r="U137" i="23"/>
  <c r="V137" i="23" s="1"/>
  <c r="W137" i="23" s="1"/>
  <c r="U186" i="23"/>
  <c r="V186" i="23" s="1"/>
  <c r="W186" i="23" s="1"/>
  <c r="U158" i="23"/>
  <c r="V158" i="23" s="1"/>
  <c r="W158" i="23" s="1"/>
  <c r="U149" i="23"/>
  <c r="V149" i="23" s="1"/>
  <c r="W149" i="23" s="1"/>
  <c r="U171" i="23"/>
  <c r="V171" i="23" s="1"/>
  <c r="W171" i="23" s="1"/>
  <c r="U143" i="23"/>
  <c r="V143" i="23" s="1"/>
  <c r="W143" i="23" s="1"/>
  <c r="U111" i="23"/>
  <c r="V111" i="23" s="1"/>
  <c r="W111" i="23" s="1"/>
  <c r="U105" i="23"/>
  <c r="V105" i="23" s="1"/>
  <c r="W105" i="23" s="1"/>
  <c r="P68" i="23"/>
  <c r="M198" i="23"/>
  <c r="G145" i="1"/>
  <c r="AF53" i="1"/>
  <c r="AE53" i="1"/>
  <c r="AF51" i="1"/>
  <c r="AE51" i="1"/>
  <c r="F46" i="1"/>
  <c r="F47" i="1"/>
  <c r="F44" i="1"/>
  <c r="F45" i="1"/>
  <c r="N46" i="1"/>
  <c r="N47" i="1"/>
  <c r="O76" i="1"/>
  <c r="N76" i="1"/>
  <c r="Z53" i="1"/>
  <c r="AA53" i="1"/>
  <c r="Z51" i="1"/>
  <c r="AA51" i="1"/>
  <c r="X40" i="1"/>
  <c r="Y40" i="1"/>
  <c r="X38" i="1"/>
  <c r="Y38" i="1"/>
  <c r="G65" i="1"/>
  <c r="H65" i="1"/>
  <c r="F65" i="1"/>
  <c r="E65" i="1"/>
  <c r="O199" i="1"/>
  <c r="Y97" i="1"/>
  <c r="M253" i="1"/>
  <c r="X33" i="1"/>
  <c r="Z33" i="1"/>
  <c r="Z38" i="1"/>
  <c r="AA33" i="1"/>
  <c r="AC95" i="1"/>
  <c r="W33" i="1"/>
  <c r="Z40" i="1"/>
  <c r="Y33" i="1"/>
  <c r="V33" i="1"/>
  <c r="M235" i="23" l="1"/>
  <c r="O198" i="23"/>
  <c r="AC97" i="23"/>
  <c r="M239" i="23"/>
  <c r="N76" i="23"/>
  <c r="G147" i="1"/>
  <c r="G38" i="1"/>
  <c r="O164" i="1"/>
  <c r="M163" i="1"/>
  <c r="AC101" i="1"/>
  <c r="AC120" i="1"/>
  <c r="AC121" i="1"/>
  <c r="AC122" i="1"/>
  <c r="AC123" i="1"/>
  <c r="AC124" i="1"/>
  <c r="AC125" i="1"/>
  <c r="AC126" i="1"/>
  <c r="O153" i="1" l="1"/>
  <c r="O147" i="1"/>
  <c r="O152" i="1"/>
  <c r="N153" i="1"/>
  <c r="M38" i="1"/>
  <c r="Z31" i="1"/>
  <c r="V31" i="1"/>
  <c r="Y31" i="1"/>
  <c r="W31" i="1"/>
  <c r="AA31" i="1"/>
  <c r="X31" i="1"/>
  <c r="M34" i="1"/>
  <c r="N144" i="1" l="1"/>
  <c r="O144" i="1"/>
  <c r="M144" i="1"/>
  <c r="M201" i="1" l="1"/>
  <c r="N188" i="1" l="1"/>
  <c r="O188" i="1"/>
  <c r="P188" i="1"/>
  <c r="N189" i="1"/>
  <c r="O189" i="1"/>
  <c r="P189" i="1"/>
  <c r="N190" i="1"/>
  <c r="O190" i="1"/>
  <c r="P190" i="1"/>
  <c r="M190" i="1"/>
  <c r="M185" i="1" s="1"/>
  <c r="M189" i="1"/>
  <c r="M188" i="1"/>
  <c r="N185" i="1" l="1"/>
  <c r="N166" i="1"/>
  <c r="AC201" i="1" l="1"/>
  <c r="AC100" i="1" l="1"/>
  <c r="AC102" i="1"/>
  <c r="AC106" i="1"/>
  <c r="AC110" i="1"/>
  <c r="AC114" i="1"/>
  <c r="AC118" i="1"/>
  <c r="AC130" i="1"/>
  <c r="AC134" i="1"/>
  <c r="AC138" i="1"/>
  <c r="AC142" i="1"/>
  <c r="AC146" i="1"/>
  <c r="AC150" i="1"/>
  <c r="AC154" i="1"/>
  <c r="AC158" i="1"/>
  <c r="AC162" i="1"/>
  <c r="AC166" i="1"/>
  <c r="AC170" i="1"/>
  <c r="AC174" i="1"/>
  <c r="AC178" i="1"/>
  <c r="AC182" i="1"/>
  <c r="AC186" i="1"/>
  <c r="AC190" i="1"/>
  <c r="AC194" i="1"/>
  <c r="AC198" i="1"/>
  <c r="AC103" i="1"/>
  <c r="AC107" i="1"/>
  <c r="AC111" i="1"/>
  <c r="AC115" i="1"/>
  <c r="AC119" i="1"/>
  <c r="AC127" i="1"/>
  <c r="AC131" i="1"/>
  <c r="AC135" i="1"/>
  <c r="AC139" i="1"/>
  <c r="AC147" i="1"/>
  <c r="AC151" i="1"/>
  <c r="AC159" i="1"/>
  <c r="AC163" i="1"/>
  <c r="AC171" i="1"/>
  <c r="AC179" i="1"/>
  <c r="AC183" i="1"/>
  <c r="AC191" i="1"/>
  <c r="AC199" i="1"/>
  <c r="AC104" i="1"/>
  <c r="AC108" i="1"/>
  <c r="AC112" i="1"/>
  <c r="AC116" i="1"/>
  <c r="AC128" i="1"/>
  <c r="AC132" i="1"/>
  <c r="AC136" i="1"/>
  <c r="AC140" i="1"/>
  <c r="AC144" i="1"/>
  <c r="AC148" i="1"/>
  <c r="AC152" i="1"/>
  <c r="AC156" i="1"/>
  <c r="AC160" i="1"/>
  <c r="AC164" i="1"/>
  <c r="AC168" i="1"/>
  <c r="AC172" i="1"/>
  <c r="AC176" i="1"/>
  <c r="AC180" i="1"/>
  <c r="AC184" i="1"/>
  <c r="AC188" i="1"/>
  <c r="AC192" i="1"/>
  <c r="AC196" i="1"/>
  <c r="AC200" i="1"/>
  <c r="AC105" i="1"/>
  <c r="AC109" i="1"/>
  <c r="AC113" i="1"/>
  <c r="AC117" i="1"/>
  <c r="AC129" i="1"/>
  <c r="AC133" i="1"/>
  <c r="AC137" i="1"/>
  <c r="AC141" i="1"/>
  <c r="AC145" i="1"/>
  <c r="AC149" i="1"/>
  <c r="AC153" i="1"/>
  <c r="AC157" i="1"/>
  <c r="AC161" i="1"/>
  <c r="AC165" i="1"/>
  <c r="AC169" i="1"/>
  <c r="AC173" i="1"/>
  <c r="AC177" i="1"/>
  <c r="AC181" i="1"/>
  <c r="AC185" i="1"/>
  <c r="AC189" i="1"/>
  <c r="AC193" i="1"/>
  <c r="AC197" i="1"/>
  <c r="AC143" i="1"/>
  <c r="AC155" i="1"/>
  <c r="AC167" i="1"/>
  <c r="AC175" i="1"/>
  <c r="AC187" i="1"/>
  <c r="AC195" i="1"/>
  <c r="AD9" i="4" l="1"/>
  <c r="K9" i="4"/>
  <c r="W9" i="4" l="1"/>
  <c r="S9" i="4"/>
  <c r="O9" i="4"/>
  <c r="S8" i="4"/>
  <c r="O8" i="4"/>
  <c r="K8" i="4"/>
  <c r="H49" i="23" l="1"/>
  <c r="P172" i="23"/>
  <c r="G49" i="23"/>
  <c r="O172" i="23"/>
  <c r="G49" i="22"/>
  <c r="O172" i="22"/>
  <c r="P172" i="22"/>
  <c r="H49" i="22"/>
  <c r="O172" i="21"/>
  <c r="G49" i="21"/>
  <c r="H49" i="21"/>
  <c r="P172" i="21"/>
  <c r="O172" i="1"/>
  <c r="P172" i="1"/>
  <c r="G49" i="1"/>
  <c r="H49" i="1"/>
  <c r="AE52" i="23" l="1"/>
  <c r="AF52" i="23"/>
  <c r="Z55" i="23"/>
  <c r="T55" i="23"/>
  <c r="X43" i="23"/>
  <c r="AA42" i="23"/>
  <c r="W42" i="23"/>
  <c r="S42" i="23"/>
  <c r="G50" i="23"/>
  <c r="V56" i="23" s="1"/>
  <c r="AA43" i="23"/>
  <c r="W43" i="23"/>
  <c r="Z42" i="23"/>
  <c r="V42" i="23"/>
  <c r="Z43" i="23"/>
  <c r="V43" i="23"/>
  <c r="Y42" i="23"/>
  <c r="T42" i="23"/>
  <c r="AA55" i="23"/>
  <c r="Y43" i="23"/>
  <c r="X42" i="23"/>
  <c r="AI36" i="23"/>
  <c r="AE36" i="23"/>
  <c r="Z36" i="23"/>
  <c r="Y34" i="23"/>
  <c r="V34" i="23"/>
  <c r="AH39" i="23"/>
  <c r="AF36" i="23"/>
  <c r="X34" i="23"/>
  <c r="AI41" i="23"/>
  <c r="W34" i="23"/>
  <c r="W41" i="23"/>
  <c r="X36" i="23"/>
  <c r="AG41" i="23"/>
  <c r="V36" i="23"/>
  <c r="AJ41" i="23"/>
  <c r="Y36" i="23"/>
  <c r="AH36" i="23"/>
  <c r="AE41" i="23"/>
  <c r="V39" i="23"/>
  <c r="AG34" i="23"/>
  <c r="Z41" i="23"/>
  <c r="AJ34" i="23"/>
  <c r="AF41" i="23"/>
  <c r="AI34" i="23"/>
  <c r="W36" i="23"/>
  <c r="X41" i="23"/>
  <c r="AH34" i="23"/>
  <c r="AH41" i="23"/>
  <c r="Z54" i="23"/>
  <c r="V41" i="23"/>
  <c r="AG36" i="23"/>
  <c r="AF34" i="23"/>
  <c r="AA36" i="23"/>
  <c r="Y41" i="23"/>
  <c r="AJ36" i="23"/>
  <c r="AE34" i="23"/>
  <c r="Z34" i="23"/>
  <c r="AG39" i="23"/>
  <c r="AA34" i="23"/>
  <c r="AA41" i="23"/>
  <c r="P45" i="23"/>
  <c r="H44" i="23"/>
  <c r="H45" i="23"/>
  <c r="H50" i="23"/>
  <c r="W58" i="23" s="1"/>
  <c r="Z45" i="23"/>
  <c r="V45" i="23"/>
  <c r="X44" i="23"/>
  <c r="S44" i="23"/>
  <c r="Y45" i="23"/>
  <c r="AA44" i="23"/>
  <c r="W44" i="23"/>
  <c r="P44" i="23"/>
  <c r="W45" i="23"/>
  <c r="Y44" i="23"/>
  <c r="T44" i="23"/>
  <c r="AA57" i="23"/>
  <c r="X45" i="23"/>
  <c r="Z44" i="23"/>
  <c r="V44" i="23"/>
  <c r="Z57" i="23"/>
  <c r="T57" i="23"/>
  <c r="AA45" i="23"/>
  <c r="X45" i="22"/>
  <c r="Z44" i="22"/>
  <c r="V44" i="22"/>
  <c r="AA57" i="22"/>
  <c r="H50" i="22"/>
  <c r="P173" i="22" s="1"/>
  <c r="Z58" i="22" s="1"/>
  <c r="AA45" i="22"/>
  <c r="W45" i="22"/>
  <c r="Y44" i="22"/>
  <c r="T44" i="22"/>
  <c r="Z57" i="22"/>
  <c r="T57" i="22"/>
  <c r="W44" i="22"/>
  <c r="Z45" i="22"/>
  <c r="S44" i="22"/>
  <c r="Y45" i="22"/>
  <c r="AA44" i="22"/>
  <c r="P44" i="22"/>
  <c r="V45" i="22"/>
  <c r="X44" i="22"/>
  <c r="H44" i="22"/>
  <c r="H45" i="22"/>
  <c r="Z55" i="22"/>
  <c r="T55" i="22"/>
  <c r="Z43" i="22"/>
  <c r="V43" i="22"/>
  <c r="Y42" i="22"/>
  <c r="T42" i="22"/>
  <c r="Y43" i="22"/>
  <c r="X42" i="22"/>
  <c r="S42" i="22"/>
  <c r="G50" i="22"/>
  <c r="O173" i="22" s="1"/>
  <c r="Z56" i="22" s="1"/>
  <c r="AA43" i="22"/>
  <c r="AA42" i="22"/>
  <c r="X43" i="22"/>
  <c r="Z42" i="22"/>
  <c r="AA55" i="22"/>
  <c r="W43" i="22"/>
  <c r="W42" i="22"/>
  <c r="V42" i="22"/>
  <c r="AH36" i="22"/>
  <c r="AJ34" i="22"/>
  <c r="AF41" i="22"/>
  <c r="Z34" i="22"/>
  <c r="AG39" i="22"/>
  <c r="W41" i="22"/>
  <c r="AG36" i="22"/>
  <c r="AA34" i="22"/>
  <c r="AI36" i="22"/>
  <c r="AI34" i="22"/>
  <c r="AE34" i="22"/>
  <c r="Z36" i="22"/>
  <c r="AG34" i="22"/>
  <c r="AH39" i="22"/>
  <c r="AI41" i="22"/>
  <c r="AH34" i="22"/>
  <c r="Y41" i="22"/>
  <c r="Y36" i="22"/>
  <c r="AF34" i="22"/>
  <c r="V34" i="22"/>
  <c r="AA36" i="22"/>
  <c r="X41" i="22"/>
  <c r="AA41" i="22"/>
  <c r="V36" i="22"/>
  <c r="W34" i="22"/>
  <c r="AJ36" i="22"/>
  <c r="Z41" i="22"/>
  <c r="AG41" i="22"/>
  <c r="W36" i="22"/>
  <c r="V41" i="22"/>
  <c r="AE41" i="22"/>
  <c r="AH41" i="22"/>
  <c r="Y34" i="22"/>
  <c r="X36" i="22"/>
  <c r="V39" i="22"/>
  <c r="AJ41" i="22"/>
  <c r="X34" i="22"/>
  <c r="AF36" i="22"/>
  <c r="AE36" i="22"/>
  <c r="Z54" i="22"/>
  <c r="P45" i="22"/>
  <c r="H44" i="21"/>
  <c r="AA57" i="21"/>
  <c r="T57" i="21"/>
  <c r="X45" i="21"/>
  <c r="Z44" i="21"/>
  <c r="V44" i="21"/>
  <c r="Z57" i="21"/>
  <c r="H50" i="21"/>
  <c r="V58" i="21" s="1"/>
  <c r="AA45" i="21"/>
  <c r="W45" i="21"/>
  <c r="Y44" i="21"/>
  <c r="T44" i="21"/>
  <c r="Z45" i="21"/>
  <c r="V45" i="21"/>
  <c r="X44" i="21"/>
  <c r="S44" i="21"/>
  <c r="Y45" i="21"/>
  <c r="AA44" i="21"/>
  <c r="W44" i="21"/>
  <c r="P44" i="21"/>
  <c r="AA55" i="21"/>
  <c r="Z43" i="21"/>
  <c r="V43" i="21"/>
  <c r="Y42" i="21"/>
  <c r="T42" i="21"/>
  <c r="Y43" i="21"/>
  <c r="X42" i="21"/>
  <c r="S42" i="21"/>
  <c r="T55" i="21"/>
  <c r="G50" i="21"/>
  <c r="V56" i="21" s="1"/>
  <c r="X43" i="21"/>
  <c r="AA42" i="21"/>
  <c r="W42" i="21"/>
  <c r="Z55" i="21"/>
  <c r="AA43" i="21"/>
  <c r="W43" i="21"/>
  <c r="Z42" i="21"/>
  <c r="V42" i="21"/>
  <c r="AE36" i="21"/>
  <c r="AI36" i="21"/>
  <c r="V36" i="21"/>
  <c r="X36" i="21"/>
  <c r="AF36" i="21"/>
  <c r="AG36" i="21"/>
  <c r="Z36" i="21"/>
  <c r="AE41" i="21"/>
  <c r="V39" i="21"/>
  <c r="AH41" i="21"/>
  <c r="W36" i="21"/>
  <c r="AF34" i="21"/>
  <c r="Y41" i="21"/>
  <c r="Y36" i="21"/>
  <c r="X41" i="21"/>
  <c r="AH34" i="21"/>
  <c r="AG34" i="21"/>
  <c r="AA41" i="21"/>
  <c r="AG41" i="21"/>
  <c r="Y34" i="21"/>
  <c r="AH39" i="21"/>
  <c r="AI34" i="21"/>
  <c r="AJ36" i="21"/>
  <c r="Z54" i="21"/>
  <c r="AG39" i="21"/>
  <c r="AA34" i="21"/>
  <c r="Z34" i="21"/>
  <c r="W41" i="21"/>
  <c r="AH36" i="21"/>
  <c r="Z41" i="21"/>
  <c r="AJ41" i="21"/>
  <c r="AE34" i="21"/>
  <c r="AI41" i="21"/>
  <c r="W34" i="21"/>
  <c r="V34" i="21"/>
  <c r="AA36" i="21"/>
  <c r="V41" i="21"/>
  <c r="AJ34" i="21"/>
  <c r="AF41" i="21"/>
  <c r="X34" i="21"/>
  <c r="P45" i="21"/>
  <c r="H45" i="21"/>
  <c r="H44" i="1"/>
  <c r="H45" i="1"/>
  <c r="S42" i="1"/>
  <c r="S44" i="1"/>
  <c r="Z54" i="1"/>
  <c r="AF54" i="1"/>
  <c r="AE54" i="1"/>
  <c r="AF52" i="1"/>
  <c r="AA54" i="1"/>
  <c r="AE52" i="1"/>
  <c r="AH41" i="1"/>
  <c r="AG41" i="1"/>
  <c r="AI41" i="1"/>
  <c r="AJ41" i="1"/>
  <c r="AE41" i="1"/>
  <c r="AF41" i="1"/>
  <c r="AG39" i="1"/>
  <c r="AH39" i="1"/>
  <c r="AJ36" i="1"/>
  <c r="AH36" i="1"/>
  <c r="AF36" i="1"/>
  <c r="AG36" i="1"/>
  <c r="AI36" i="1"/>
  <c r="AE36" i="1"/>
  <c r="AA41" i="1"/>
  <c r="AJ34" i="1"/>
  <c r="AH34" i="1"/>
  <c r="AF34" i="1"/>
  <c r="AG34" i="1"/>
  <c r="AI34" i="1"/>
  <c r="AE34" i="1"/>
  <c r="W45" i="1"/>
  <c r="X45" i="1"/>
  <c r="AA45" i="1"/>
  <c r="V45" i="1"/>
  <c r="Y45" i="1"/>
  <c r="Z45" i="1"/>
  <c r="Y41" i="1"/>
  <c r="Z41" i="1"/>
  <c r="W41" i="1"/>
  <c r="X41" i="1"/>
  <c r="AA57" i="1"/>
  <c r="V41" i="1"/>
  <c r="AA36" i="1"/>
  <c r="W36" i="1"/>
  <c r="X36" i="1"/>
  <c r="Z36" i="1"/>
  <c r="Y36" i="1"/>
  <c r="V36" i="1"/>
  <c r="AA34" i="1"/>
  <c r="X34" i="1"/>
  <c r="Z34" i="1"/>
  <c r="W34" i="1"/>
  <c r="V34" i="1"/>
  <c r="Y34" i="1"/>
  <c r="AA55" i="1"/>
  <c r="Y44" i="1"/>
  <c r="Z57" i="1"/>
  <c r="Y42" i="1"/>
  <c r="Z55" i="1"/>
  <c r="X44" i="1"/>
  <c r="X42" i="1"/>
  <c r="T44" i="1"/>
  <c r="T57" i="1"/>
  <c r="T42" i="1"/>
  <c r="T55" i="1"/>
  <c r="G50" i="1"/>
  <c r="W56" i="1" s="1"/>
  <c r="H50" i="1"/>
  <c r="W58" i="1" s="1"/>
  <c r="Z44" i="1"/>
  <c r="V39" i="1"/>
  <c r="Y43" i="1"/>
  <c r="W43" i="1"/>
  <c r="AA43" i="1"/>
  <c r="V43" i="1"/>
  <c r="X43" i="1"/>
  <c r="Z43" i="1"/>
  <c r="Z42" i="1"/>
  <c r="W58" i="22" l="1"/>
  <c r="O173" i="23"/>
  <c r="Z56" i="23" s="1"/>
  <c r="X57" i="23"/>
  <c r="W56" i="23"/>
  <c r="V58" i="23"/>
  <c r="P173" i="23"/>
  <c r="Z58" i="23" s="1"/>
  <c r="X55" i="23"/>
  <c r="W47" i="23"/>
  <c r="AE46" i="23"/>
  <c r="AF47" i="23"/>
  <c r="AF46" i="23"/>
  <c r="V47" i="23"/>
  <c r="AE47" i="23"/>
  <c r="V46" i="23"/>
  <c r="W46" i="23"/>
  <c r="P181" i="23"/>
  <c r="P182" i="23"/>
  <c r="P174" i="23"/>
  <c r="P185" i="23" s="1"/>
  <c r="O181" i="23"/>
  <c r="O174" i="23"/>
  <c r="O185" i="23" s="1"/>
  <c r="O182" i="23"/>
  <c r="X57" i="22"/>
  <c r="V58" i="22"/>
  <c r="W56" i="22"/>
  <c r="V47" i="22"/>
  <c r="AE46" i="22"/>
  <c r="V46" i="22"/>
  <c r="W47" i="22"/>
  <c r="AF46" i="22"/>
  <c r="AE47" i="22"/>
  <c r="W46" i="22"/>
  <c r="AF47" i="22"/>
  <c r="O185" i="22"/>
  <c r="O183" i="22"/>
  <c r="O181" i="22"/>
  <c r="O174" i="22"/>
  <c r="O182" i="22"/>
  <c r="AA56" i="22"/>
  <c r="V56" i="22"/>
  <c r="X55" i="22"/>
  <c r="P183" i="22"/>
  <c r="P181" i="22"/>
  <c r="P174" i="22"/>
  <c r="P185" i="22" s="1"/>
  <c r="P182" i="22"/>
  <c r="AA58" i="22"/>
  <c r="O173" i="21"/>
  <c r="Z56" i="21" s="1"/>
  <c r="X55" i="21"/>
  <c r="AF47" i="21"/>
  <c r="AF46" i="21"/>
  <c r="AE46" i="21"/>
  <c r="V46" i="21"/>
  <c r="W47" i="21"/>
  <c r="AE47" i="21"/>
  <c r="W46" i="21"/>
  <c r="V47" i="21"/>
  <c r="P181" i="21"/>
  <c r="P185" i="21"/>
  <c r="P174" i="21"/>
  <c r="P183" i="21"/>
  <c r="P182" i="21"/>
  <c r="W58" i="21"/>
  <c r="O185" i="21"/>
  <c r="O183" i="21"/>
  <c r="O182" i="21"/>
  <c r="O181" i="21"/>
  <c r="O174" i="21"/>
  <c r="W56" i="21"/>
  <c r="X57" i="21"/>
  <c r="P173" i="21"/>
  <c r="Z58" i="21" s="1"/>
  <c r="X57" i="1"/>
  <c r="V56" i="1"/>
  <c r="X55" i="1"/>
  <c r="V58" i="1"/>
  <c r="P181" i="1"/>
  <c r="P182" i="1"/>
  <c r="O181" i="1"/>
  <c r="O182" i="1"/>
  <c r="P173" i="1"/>
  <c r="Z58" i="1" s="1"/>
  <c r="P174" i="1"/>
  <c r="P185" i="1" s="1"/>
  <c r="O173" i="1"/>
  <c r="AA56" i="1" s="1"/>
  <c r="O174" i="1"/>
  <c r="O183" i="23" l="1"/>
  <c r="P183" i="23"/>
  <c r="M205" i="23" s="1"/>
  <c r="M206" i="23" s="1"/>
  <c r="AA56" i="23"/>
  <c r="AA58" i="23"/>
  <c r="M209" i="23"/>
  <c r="M205" i="22"/>
  <c r="M206" i="22" s="1"/>
  <c r="M209" i="22"/>
  <c r="M210" i="22" s="1"/>
  <c r="AA56" i="21"/>
  <c r="M205" i="21"/>
  <c r="M206" i="21" s="1"/>
  <c r="AA58" i="21"/>
  <c r="M209" i="21"/>
  <c r="M210" i="21" s="1"/>
  <c r="O183" i="1"/>
  <c r="AA58" i="1"/>
  <c r="O185" i="1"/>
  <c r="P183" i="1"/>
  <c r="Z56" i="1"/>
  <c r="M210" i="23" l="1"/>
  <c r="M254" i="23" s="1"/>
  <c r="M220" i="23"/>
  <c r="X64" i="23"/>
  <c r="M221" i="23"/>
  <c r="M220" i="22"/>
  <c r="M212" i="22"/>
  <c r="M238" i="22" s="1"/>
  <c r="M221" i="22"/>
  <c r="X64" i="22"/>
  <c r="M254" i="22"/>
  <c r="W67" i="22"/>
  <c r="V67" i="22"/>
  <c r="W64" i="22"/>
  <c r="M255" i="22"/>
  <c r="M220" i="21"/>
  <c r="M212" i="21"/>
  <c r="M238" i="21" s="1"/>
  <c r="M221" i="21"/>
  <c r="X64" i="21"/>
  <c r="M254" i="21"/>
  <c r="V67" i="21"/>
  <c r="W67" i="21"/>
  <c r="W64" i="21"/>
  <c r="M255" i="21"/>
  <c r="M197" i="1"/>
  <c r="W64" i="23" l="1"/>
  <c r="V67" i="23"/>
  <c r="W67" i="23"/>
  <c r="M212" i="23"/>
  <c r="M238" i="23" s="1"/>
  <c r="M255" i="23"/>
  <c r="F259" i="23" s="1"/>
  <c r="M259" i="23" s="1"/>
  <c r="M260" i="23" s="1"/>
  <c r="F225" i="23"/>
  <c r="M225" i="23" s="1"/>
  <c r="M226" i="23" s="1"/>
  <c r="G150" i="23" s="1"/>
  <c r="F225" i="22"/>
  <c r="M225" i="22" s="1"/>
  <c r="M226" i="22" s="1"/>
  <c r="G150" i="22" s="1"/>
  <c r="F259" i="22"/>
  <c r="M259" i="22" s="1"/>
  <c r="F225" i="21"/>
  <c r="M225" i="21" s="1"/>
  <c r="F259" i="21"/>
  <c r="M259" i="21" s="1"/>
  <c r="M260" i="21" s="1"/>
  <c r="O197" i="1"/>
  <c r="U97" i="1"/>
  <c r="M219" i="1"/>
  <c r="M237" i="23" l="1"/>
  <c r="M261" i="23"/>
  <c r="N259" i="23"/>
  <c r="O79" i="23"/>
  <c r="O77" i="23"/>
  <c r="Y96" i="23"/>
  <c r="N225" i="23"/>
  <c r="M227" i="23"/>
  <c r="M77" i="23"/>
  <c r="M79" i="23"/>
  <c r="U96" i="23"/>
  <c r="H151" i="23"/>
  <c r="F151" i="23"/>
  <c r="G151" i="23"/>
  <c r="E151" i="23"/>
  <c r="M261" i="22"/>
  <c r="N259" i="22"/>
  <c r="O79" i="22"/>
  <c r="O77" i="22"/>
  <c r="Y96" i="22"/>
  <c r="M260" i="22"/>
  <c r="M237" i="22" s="1"/>
  <c r="N225" i="22"/>
  <c r="M227" i="22"/>
  <c r="M79" i="22"/>
  <c r="M77" i="22"/>
  <c r="U96" i="22"/>
  <c r="G151" i="22"/>
  <c r="F151" i="22"/>
  <c r="E151" i="22"/>
  <c r="H151" i="22"/>
  <c r="N259" i="21"/>
  <c r="M261" i="21"/>
  <c r="O79" i="21"/>
  <c r="O77" i="21"/>
  <c r="Y96" i="21"/>
  <c r="N225" i="21"/>
  <c r="M227" i="21"/>
  <c r="M77" i="21"/>
  <c r="M79" i="21"/>
  <c r="U96" i="21"/>
  <c r="M226" i="21"/>
  <c r="G150" i="21" s="1"/>
  <c r="M198" i="1"/>
  <c r="O198" i="1"/>
  <c r="N151" i="23" l="1"/>
  <c r="M228" i="23"/>
  <c r="M80" i="23"/>
  <c r="M262" i="23"/>
  <c r="O80" i="23"/>
  <c r="N151" i="22"/>
  <c r="N154" i="22" s="1"/>
  <c r="N170" i="22" s="1"/>
  <c r="M228" i="22"/>
  <c r="M80" i="22"/>
  <c r="M262" i="22"/>
  <c r="O80" i="22"/>
  <c r="F151" i="21"/>
  <c r="E151" i="21"/>
  <c r="G151" i="21"/>
  <c r="H151" i="21"/>
  <c r="M228" i="21"/>
  <c r="M80" i="21"/>
  <c r="M262" i="21"/>
  <c r="O80" i="21"/>
  <c r="M237" i="21"/>
  <c r="AC97" i="1"/>
  <c r="M235" i="1"/>
  <c r="N152" i="23" l="1"/>
  <c r="N154" i="23" s="1"/>
  <c r="M244" i="23" s="1"/>
  <c r="M240" i="23" s="1"/>
  <c r="M241" i="23" s="1"/>
  <c r="M229" i="23"/>
  <c r="M231" i="23" s="1"/>
  <c r="M81" i="23"/>
  <c r="M263" i="23"/>
  <c r="M265" i="23" s="1"/>
  <c r="O81" i="23"/>
  <c r="M244" i="22"/>
  <c r="M240" i="22" s="1"/>
  <c r="M241" i="22" s="1"/>
  <c r="AD196" i="22"/>
  <c r="AE196" i="22" s="1"/>
  <c r="AD195" i="22"/>
  <c r="AE195" i="22" s="1"/>
  <c r="AD194" i="22"/>
  <c r="AE194" i="22" s="1"/>
  <c r="AD193" i="22"/>
  <c r="AE193" i="22" s="1"/>
  <c r="AD192" i="22"/>
  <c r="AE192" i="22" s="1"/>
  <c r="AD191" i="22"/>
  <c r="AE191" i="22" s="1"/>
  <c r="AD190" i="22"/>
  <c r="AE190" i="22" s="1"/>
  <c r="AD189" i="22"/>
  <c r="AE189" i="22" s="1"/>
  <c r="AD188" i="22"/>
  <c r="AE188" i="22" s="1"/>
  <c r="AD187" i="22"/>
  <c r="AE187" i="22" s="1"/>
  <c r="AD186" i="22"/>
  <c r="AE186" i="22" s="1"/>
  <c r="AD185" i="22"/>
  <c r="AE185" i="22" s="1"/>
  <c r="AD184" i="22"/>
  <c r="AE184" i="22" s="1"/>
  <c r="AD183" i="22"/>
  <c r="AE183" i="22" s="1"/>
  <c r="AD182" i="22"/>
  <c r="AE182" i="22" s="1"/>
  <c r="AD202" i="22"/>
  <c r="AE202" i="22" s="1"/>
  <c r="AD197" i="22"/>
  <c r="AE197" i="22" s="1"/>
  <c r="N242" i="22"/>
  <c r="AD201" i="22"/>
  <c r="AE201" i="22" s="1"/>
  <c r="AD198" i="22"/>
  <c r="AE198" i="22" s="1"/>
  <c r="AD199" i="22"/>
  <c r="AE199" i="22" s="1"/>
  <c r="M242" i="22"/>
  <c r="AD200" i="22"/>
  <c r="AE200" i="22" s="1"/>
  <c r="AD181" i="22"/>
  <c r="AE181" i="22" s="1"/>
  <c r="AD180" i="22"/>
  <c r="AE180" i="22" s="1"/>
  <c r="AD179" i="22"/>
  <c r="AE179" i="22" s="1"/>
  <c r="AD178" i="22"/>
  <c r="AE178" i="22" s="1"/>
  <c r="AD177" i="22"/>
  <c r="AE177" i="22" s="1"/>
  <c r="AD176" i="22"/>
  <c r="AE176" i="22" s="1"/>
  <c r="AD175" i="22"/>
  <c r="AE175" i="22" s="1"/>
  <c r="AD174" i="22"/>
  <c r="AE174" i="22" s="1"/>
  <c r="AD173" i="22"/>
  <c r="AE173" i="22" s="1"/>
  <c r="AD172" i="22"/>
  <c r="AE172" i="22" s="1"/>
  <c r="AD171" i="22"/>
  <c r="AE171" i="22" s="1"/>
  <c r="AD170" i="22"/>
  <c r="AE170" i="22" s="1"/>
  <c r="AD167" i="22"/>
  <c r="AE167" i="22" s="1"/>
  <c r="AD165" i="22"/>
  <c r="AE165" i="22" s="1"/>
  <c r="AD168" i="22"/>
  <c r="AE168" i="22" s="1"/>
  <c r="AD159" i="22"/>
  <c r="AE159" i="22" s="1"/>
  <c r="AD158" i="22"/>
  <c r="AE158" i="22" s="1"/>
  <c r="AD156" i="22"/>
  <c r="AE156" i="22" s="1"/>
  <c r="AD154" i="22"/>
  <c r="AE154" i="22" s="1"/>
  <c r="AD133" i="22"/>
  <c r="AE133" i="22" s="1"/>
  <c r="AD166" i="22"/>
  <c r="AE166" i="22" s="1"/>
  <c r="AD162" i="22"/>
  <c r="AE162" i="22" s="1"/>
  <c r="AD160" i="22"/>
  <c r="AE160" i="22" s="1"/>
  <c r="AD153" i="22"/>
  <c r="AE153" i="22" s="1"/>
  <c r="AD151" i="22"/>
  <c r="AE151" i="22" s="1"/>
  <c r="AD149" i="22"/>
  <c r="AE149" i="22" s="1"/>
  <c r="AD142" i="22"/>
  <c r="AE142" i="22" s="1"/>
  <c r="AD141" i="22"/>
  <c r="AE141" i="22" s="1"/>
  <c r="AD139" i="22"/>
  <c r="AE139" i="22" s="1"/>
  <c r="AD134" i="22"/>
  <c r="AE134" i="22" s="1"/>
  <c r="AD169" i="22"/>
  <c r="AE169" i="22" s="1"/>
  <c r="AD164" i="22"/>
  <c r="AE164" i="22" s="1"/>
  <c r="AD157" i="22"/>
  <c r="AE157" i="22" s="1"/>
  <c r="AD155" i="22"/>
  <c r="AE155" i="22" s="1"/>
  <c r="AD148" i="22"/>
  <c r="AE148" i="22" s="1"/>
  <c r="AD146" i="22"/>
  <c r="AE146" i="22" s="1"/>
  <c r="AD143" i="22"/>
  <c r="AE143" i="22" s="1"/>
  <c r="AD140" i="22"/>
  <c r="AE140" i="22" s="1"/>
  <c r="AD138" i="22"/>
  <c r="AE138" i="22" s="1"/>
  <c r="AD135" i="22"/>
  <c r="AE135" i="22" s="1"/>
  <c r="AD131" i="22"/>
  <c r="AE131" i="22" s="1"/>
  <c r="AD130" i="22"/>
  <c r="AE130" i="22" s="1"/>
  <c r="AD161" i="22"/>
  <c r="AE161" i="22" s="1"/>
  <c r="AD152" i="22"/>
  <c r="AE152" i="22" s="1"/>
  <c r="AD136" i="22"/>
  <c r="AE136" i="22" s="1"/>
  <c r="AD124" i="22"/>
  <c r="AE124" i="22" s="1"/>
  <c r="AD123" i="22"/>
  <c r="AE123" i="22" s="1"/>
  <c r="AD122" i="22"/>
  <c r="AE122" i="22" s="1"/>
  <c r="AD121" i="22"/>
  <c r="AE121" i="22" s="1"/>
  <c r="AD120" i="22"/>
  <c r="AE120" i="22" s="1"/>
  <c r="AD119" i="22"/>
  <c r="AE119" i="22" s="1"/>
  <c r="AD118" i="22"/>
  <c r="AE118" i="22" s="1"/>
  <c r="AD117" i="22"/>
  <c r="AE117" i="22" s="1"/>
  <c r="AD116" i="22"/>
  <c r="AE116" i="22" s="1"/>
  <c r="AD115" i="22"/>
  <c r="AE115" i="22" s="1"/>
  <c r="AD114" i="22"/>
  <c r="AE114" i="22" s="1"/>
  <c r="AD113" i="22"/>
  <c r="AE113" i="22" s="1"/>
  <c r="AD112" i="22"/>
  <c r="AE112" i="22" s="1"/>
  <c r="AD111" i="22"/>
  <c r="AE111" i="22" s="1"/>
  <c r="AD110" i="22"/>
  <c r="AE110" i="22" s="1"/>
  <c r="AD109" i="22"/>
  <c r="AE109" i="22" s="1"/>
  <c r="AD108" i="22"/>
  <c r="AE108" i="22" s="1"/>
  <c r="AD107" i="22"/>
  <c r="AE107" i="22" s="1"/>
  <c r="AD106" i="22"/>
  <c r="AE106" i="22" s="1"/>
  <c r="AD105" i="22"/>
  <c r="AE105" i="22" s="1"/>
  <c r="AD104" i="22"/>
  <c r="AE104" i="22" s="1"/>
  <c r="AD103" i="22"/>
  <c r="AE103" i="22" s="1"/>
  <c r="AD102" i="22"/>
  <c r="AE102" i="22" s="1"/>
  <c r="AD101" i="22"/>
  <c r="AE101" i="22" s="1"/>
  <c r="AD150" i="22"/>
  <c r="AE150" i="22" s="1"/>
  <c r="AD144" i="22"/>
  <c r="AE144" i="22" s="1"/>
  <c r="AD137" i="22"/>
  <c r="AE137" i="22" s="1"/>
  <c r="AD129" i="22"/>
  <c r="AE129" i="22" s="1"/>
  <c r="AD127" i="22"/>
  <c r="AE127" i="22" s="1"/>
  <c r="AD163" i="22"/>
  <c r="AE163" i="22" s="1"/>
  <c r="AD132" i="22"/>
  <c r="AE132" i="22" s="1"/>
  <c r="AD128" i="22"/>
  <c r="AE128" i="22" s="1"/>
  <c r="AD145" i="22"/>
  <c r="AE145" i="22" s="1"/>
  <c r="AD125" i="22"/>
  <c r="AE125" i="22" s="1"/>
  <c r="AD126" i="22"/>
  <c r="AE126" i="22" s="1"/>
  <c r="AD100" i="22"/>
  <c r="AE100" i="22" s="1"/>
  <c r="AF100" i="22" s="1"/>
  <c r="AG100" i="22" s="1"/>
  <c r="AD147" i="22"/>
  <c r="AE147" i="22" s="1"/>
  <c r="M264" i="22"/>
  <c r="M230" i="22"/>
  <c r="M248" i="22"/>
  <c r="M263" i="22"/>
  <c r="M265" i="22" s="1"/>
  <c r="O81" i="22"/>
  <c r="M229" i="22"/>
  <c r="M231" i="22" s="1"/>
  <c r="M81" i="22"/>
  <c r="N151" i="21"/>
  <c r="N154" i="21" s="1"/>
  <c r="M244" i="21" s="1"/>
  <c r="M240" i="21" s="1"/>
  <c r="M241" i="21" s="1"/>
  <c r="M263" i="21"/>
  <c r="M265" i="21" s="1"/>
  <c r="O81" i="21"/>
  <c r="M229" i="21"/>
  <c r="M231" i="21" s="1"/>
  <c r="M81" i="21"/>
  <c r="M33" i="1"/>
  <c r="N33" i="1"/>
  <c r="O33" i="1"/>
  <c r="O167" i="1"/>
  <c r="N167" i="1"/>
  <c r="M266" i="22"/>
  <c r="M250" i="22"/>
  <c r="M232" i="22"/>
  <c r="N170" i="23" l="1"/>
  <c r="AD104" i="23" s="1"/>
  <c r="AE104" i="23" s="1"/>
  <c r="AF104" i="23" s="1"/>
  <c r="AG104" i="23" s="1"/>
  <c r="AH104" i="23" s="1"/>
  <c r="M85" i="23"/>
  <c r="N231" i="23"/>
  <c r="G231" i="23"/>
  <c r="O82" i="23"/>
  <c r="O83" i="23"/>
  <c r="O85" i="23"/>
  <c r="N265" i="23"/>
  <c r="G265" i="23"/>
  <c r="M83" i="23"/>
  <c r="M82" i="23"/>
  <c r="M243" i="22"/>
  <c r="F245" i="22" s="1"/>
  <c r="M86" i="22"/>
  <c r="N232" i="22"/>
  <c r="M84" i="22"/>
  <c r="N233" i="22"/>
  <c r="M233" i="22"/>
  <c r="M87" i="22" s="1"/>
  <c r="G232" i="22"/>
  <c r="O86" i="22"/>
  <c r="N267" i="22"/>
  <c r="N266" i="22"/>
  <c r="G266" i="22"/>
  <c r="M267" i="22"/>
  <c r="O87" i="22" s="1"/>
  <c r="N86" i="22"/>
  <c r="N251" i="22"/>
  <c r="M85" i="22"/>
  <c r="G231" i="22"/>
  <c r="N231" i="22"/>
  <c r="O85" i="22"/>
  <c r="N265" i="22"/>
  <c r="G265" i="22"/>
  <c r="AF132" i="22"/>
  <c r="AG132" i="22" s="1"/>
  <c r="AH132" i="22" s="1"/>
  <c r="AF137" i="22"/>
  <c r="AG137" i="22" s="1"/>
  <c r="AH137" i="22" s="1"/>
  <c r="AF106" i="22"/>
  <c r="AG106" i="22" s="1"/>
  <c r="AH106" i="22" s="1"/>
  <c r="AF110" i="22"/>
  <c r="AG110" i="22" s="1"/>
  <c r="AH110" i="22" s="1"/>
  <c r="AF114" i="22"/>
  <c r="AG114" i="22" s="1"/>
  <c r="AH114" i="22" s="1"/>
  <c r="AF118" i="22"/>
  <c r="AG118" i="22" s="1"/>
  <c r="AH118" i="22" s="1"/>
  <c r="AF122" i="22"/>
  <c r="AG122" i="22" s="1"/>
  <c r="AH122" i="22" s="1"/>
  <c r="AF152" i="22"/>
  <c r="AG152" i="22" s="1"/>
  <c r="AH152" i="22" s="1"/>
  <c r="AF135" i="22"/>
  <c r="AG135" i="22" s="1"/>
  <c r="AH135" i="22" s="1"/>
  <c r="AF146" i="22"/>
  <c r="AG146" i="22" s="1"/>
  <c r="AH146" i="22" s="1"/>
  <c r="AF164" i="22"/>
  <c r="AG164" i="22" s="1"/>
  <c r="AH164" i="22" s="1"/>
  <c r="AF141" i="22"/>
  <c r="AG141" i="22" s="1"/>
  <c r="AH141" i="22" s="1"/>
  <c r="AF153" i="22"/>
  <c r="AG153" i="22" s="1"/>
  <c r="AH153" i="22" s="1"/>
  <c r="AF133" i="22"/>
  <c r="AG133" i="22" s="1"/>
  <c r="AH133" i="22" s="1"/>
  <c r="AF159" i="22"/>
  <c r="AG159" i="22" s="1"/>
  <c r="AH159" i="22" s="1"/>
  <c r="AF170" i="22"/>
  <c r="AG170" i="22" s="1"/>
  <c r="AH170" i="22" s="1"/>
  <c r="AF174" i="22"/>
  <c r="AG174" i="22" s="1"/>
  <c r="AH174" i="22" s="1"/>
  <c r="AF178" i="22"/>
  <c r="AG178" i="22" s="1"/>
  <c r="AH178" i="22" s="1"/>
  <c r="AF200" i="22"/>
  <c r="AG200" i="22" s="1"/>
  <c r="AH200" i="22" s="1"/>
  <c r="AF201" i="22"/>
  <c r="AG201" i="22" s="1"/>
  <c r="AH201" i="22" s="1"/>
  <c r="AF182" i="22"/>
  <c r="AG182" i="22" s="1"/>
  <c r="AH182" i="22" s="1"/>
  <c r="AF186" i="22"/>
  <c r="AG186" i="22" s="1"/>
  <c r="AH186" i="22" s="1"/>
  <c r="AF190" i="22"/>
  <c r="AG190" i="22" s="1"/>
  <c r="AH190" i="22" s="1"/>
  <c r="AF194" i="22"/>
  <c r="AG194" i="22" s="1"/>
  <c r="AH194" i="22" s="1"/>
  <c r="AF125" i="22"/>
  <c r="AG125" i="22" s="1"/>
  <c r="AH125" i="22" s="1"/>
  <c r="AF163" i="22"/>
  <c r="AG163" i="22" s="1"/>
  <c r="AH163" i="22" s="1"/>
  <c r="AF144" i="22"/>
  <c r="AG144" i="22" s="1"/>
  <c r="AH144" i="22" s="1"/>
  <c r="AF103" i="22"/>
  <c r="AG103" i="22" s="1"/>
  <c r="AH103" i="22" s="1"/>
  <c r="AF107" i="22"/>
  <c r="AG107" i="22" s="1"/>
  <c r="AH107" i="22" s="1"/>
  <c r="AF111" i="22"/>
  <c r="AG111" i="22" s="1"/>
  <c r="AH111" i="22" s="1"/>
  <c r="AF115" i="22"/>
  <c r="AG115" i="22" s="1"/>
  <c r="AH115" i="22" s="1"/>
  <c r="AF119" i="22"/>
  <c r="AG119" i="22" s="1"/>
  <c r="AH119" i="22" s="1"/>
  <c r="AF123" i="22"/>
  <c r="AG123" i="22" s="1"/>
  <c r="AH123" i="22" s="1"/>
  <c r="AF161" i="22"/>
  <c r="AG161" i="22" s="1"/>
  <c r="AH161" i="22" s="1"/>
  <c r="AF138" i="22"/>
  <c r="AG138" i="22" s="1"/>
  <c r="AH138" i="22" s="1"/>
  <c r="AF148" i="22"/>
  <c r="AG148" i="22" s="1"/>
  <c r="AH148" i="22" s="1"/>
  <c r="AF169" i="22"/>
  <c r="AG169" i="22" s="1"/>
  <c r="AH169" i="22" s="1"/>
  <c r="AF142" i="22"/>
  <c r="AG142" i="22" s="1"/>
  <c r="AH142" i="22" s="1"/>
  <c r="AF160" i="22"/>
  <c r="AG160" i="22" s="1"/>
  <c r="AH160" i="22" s="1"/>
  <c r="AF154" i="22"/>
  <c r="AG154" i="22" s="1"/>
  <c r="AH154" i="22" s="1"/>
  <c r="AF168" i="22"/>
  <c r="AG168" i="22" s="1"/>
  <c r="AH168" i="22" s="1"/>
  <c r="AF171" i="22"/>
  <c r="AG171" i="22" s="1"/>
  <c r="AH171" i="22" s="1"/>
  <c r="AF175" i="22"/>
  <c r="AG175" i="22" s="1"/>
  <c r="AH175" i="22" s="1"/>
  <c r="AF179" i="22"/>
  <c r="AG179" i="22" s="1"/>
  <c r="AH179" i="22" s="1"/>
  <c r="AF183" i="22"/>
  <c r="AG183" i="22" s="1"/>
  <c r="AH183" i="22" s="1"/>
  <c r="AF187" i="22"/>
  <c r="AG187" i="22" s="1"/>
  <c r="AH187" i="22" s="1"/>
  <c r="AF191" i="22"/>
  <c r="AG191" i="22" s="1"/>
  <c r="AH191" i="22" s="1"/>
  <c r="AF195" i="22"/>
  <c r="AG195" i="22" s="1"/>
  <c r="AH195" i="22" s="1"/>
  <c r="AF126" i="22"/>
  <c r="AG126" i="22" s="1"/>
  <c r="AH126" i="22" s="1"/>
  <c r="AF102" i="22"/>
  <c r="AG102" i="22" s="1"/>
  <c r="AH102" i="22" s="1"/>
  <c r="O82" i="22"/>
  <c r="O83" i="22"/>
  <c r="AF147" i="22"/>
  <c r="AG147" i="22" s="1"/>
  <c r="AH147" i="22" s="1"/>
  <c r="AF145" i="22"/>
  <c r="AG145" i="22" s="1"/>
  <c r="AH145" i="22" s="1"/>
  <c r="AF127" i="22"/>
  <c r="AG127" i="22" s="1"/>
  <c r="AH127" i="22" s="1"/>
  <c r="AF150" i="22"/>
  <c r="AG150" i="22" s="1"/>
  <c r="AH150" i="22" s="1"/>
  <c r="AF104" i="22"/>
  <c r="AG104" i="22" s="1"/>
  <c r="AH104" i="22" s="1"/>
  <c r="AF108" i="22"/>
  <c r="AG108" i="22" s="1"/>
  <c r="AH108" i="22" s="1"/>
  <c r="AF112" i="22"/>
  <c r="AG112" i="22" s="1"/>
  <c r="AH112" i="22" s="1"/>
  <c r="AF116" i="22"/>
  <c r="AG116" i="22" s="1"/>
  <c r="AH116" i="22" s="1"/>
  <c r="AF120" i="22"/>
  <c r="AG120" i="22" s="1"/>
  <c r="AH120" i="22" s="1"/>
  <c r="AF124" i="22"/>
  <c r="AG124" i="22" s="1"/>
  <c r="AH124" i="22" s="1"/>
  <c r="AF130" i="22"/>
  <c r="AG130" i="22" s="1"/>
  <c r="AH130" i="22" s="1"/>
  <c r="AF140" i="22"/>
  <c r="AG140" i="22" s="1"/>
  <c r="AH140" i="22" s="1"/>
  <c r="AF155" i="22"/>
  <c r="AG155" i="22" s="1"/>
  <c r="AH155" i="22" s="1"/>
  <c r="AF134" i="22"/>
  <c r="AG134" i="22" s="1"/>
  <c r="AH134" i="22" s="1"/>
  <c r="AF149" i="22"/>
  <c r="AG149" i="22" s="1"/>
  <c r="AH149" i="22" s="1"/>
  <c r="AF162" i="22"/>
  <c r="AG162" i="22" s="1"/>
  <c r="AH162" i="22" s="1"/>
  <c r="AF156" i="22"/>
  <c r="AG156" i="22" s="1"/>
  <c r="AH156" i="22" s="1"/>
  <c r="AF165" i="22"/>
  <c r="AG165" i="22" s="1"/>
  <c r="AH165" i="22" s="1"/>
  <c r="AF172" i="22"/>
  <c r="AG172" i="22" s="1"/>
  <c r="AH172" i="22" s="1"/>
  <c r="AF176" i="22"/>
  <c r="AG176" i="22" s="1"/>
  <c r="AH176" i="22" s="1"/>
  <c r="AF180" i="22"/>
  <c r="AG180" i="22" s="1"/>
  <c r="AH180" i="22" s="1"/>
  <c r="AF199" i="22"/>
  <c r="AG199" i="22" s="1"/>
  <c r="AH199" i="22" s="1"/>
  <c r="AF197" i="22"/>
  <c r="AG197" i="22" s="1"/>
  <c r="AH197" i="22" s="1"/>
  <c r="AF184" i="22"/>
  <c r="AG184" i="22" s="1"/>
  <c r="AH184" i="22" s="1"/>
  <c r="AF188" i="22"/>
  <c r="AG188" i="22" s="1"/>
  <c r="AH188" i="22" s="1"/>
  <c r="AF192" i="22"/>
  <c r="AG192" i="22" s="1"/>
  <c r="AH192" i="22" s="1"/>
  <c r="AF196" i="22"/>
  <c r="AG196" i="22" s="1"/>
  <c r="AH196" i="22" s="1"/>
  <c r="M83" i="22"/>
  <c r="M82" i="22"/>
  <c r="AF128" i="22"/>
  <c r="AG128" i="22" s="1"/>
  <c r="AH128" i="22" s="1"/>
  <c r="AF129" i="22"/>
  <c r="AG129" i="22" s="1"/>
  <c r="AH129" i="22" s="1"/>
  <c r="AF101" i="22"/>
  <c r="AG101" i="22" s="1"/>
  <c r="AH101" i="22" s="1"/>
  <c r="AF105" i="22"/>
  <c r="AG105" i="22" s="1"/>
  <c r="AH105" i="22" s="1"/>
  <c r="AF109" i="22"/>
  <c r="AG109" i="22" s="1"/>
  <c r="AH109" i="22" s="1"/>
  <c r="AF113" i="22"/>
  <c r="AG113" i="22" s="1"/>
  <c r="AH113" i="22" s="1"/>
  <c r="AF117" i="22"/>
  <c r="AG117" i="22" s="1"/>
  <c r="AH117" i="22" s="1"/>
  <c r="AF121" i="22"/>
  <c r="AG121" i="22" s="1"/>
  <c r="AH121" i="22" s="1"/>
  <c r="AF136" i="22"/>
  <c r="AG136" i="22" s="1"/>
  <c r="AH136" i="22" s="1"/>
  <c r="AF131" i="22"/>
  <c r="AG131" i="22" s="1"/>
  <c r="AH131" i="22" s="1"/>
  <c r="AF143" i="22"/>
  <c r="AG143" i="22" s="1"/>
  <c r="AH143" i="22" s="1"/>
  <c r="AF157" i="22"/>
  <c r="AG157" i="22" s="1"/>
  <c r="AH157" i="22" s="1"/>
  <c r="AF139" i="22"/>
  <c r="AG139" i="22" s="1"/>
  <c r="AH139" i="22" s="1"/>
  <c r="AF151" i="22"/>
  <c r="AG151" i="22" s="1"/>
  <c r="AH151" i="22" s="1"/>
  <c r="AF166" i="22"/>
  <c r="AG166" i="22" s="1"/>
  <c r="AH166" i="22" s="1"/>
  <c r="AF158" i="22"/>
  <c r="AG158" i="22" s="1"/>
  <c r="AH158" i="22" s="1"/>
  <c r="AF167" i="22"/>
  <c r="AG167" i="22" s="1"/>
  <c r="AH167" i="22" s="1"/>
  <c r="AF173" i="22"/>
  <c r="AG173" i="22" s="1"/>
  <c r="AH173" i="22" s="1"/>
  <c r="AF177" i="22"/>
  <c r="AG177" i="22" s="1"/>
  <c r="AH177" i="22" s="1"/>
  <c r="AF181" i="22"/>
  <c r="AG181" i="22" s="1"/>
  <c r="AH181" i="22" s="1"/>
  <c r="AF198" i="22"/>
  <c r="AG198" i="22" s="1"/>
  <c r="AH198" i="22" s="1"/>
  <c r="AH202" i="22"/>
  <c r="AF202" i="22"/>
  <c r="AF185" i="22"/>
  <c r="AG185" i="22" s="1"/>
  <c r="AH185" i="22" s="1"/>
  <c r="AF189" i="22"/>
  <c r="AG189" i="22" s="1"/>
  <c r="AH189" i="22" s="1"/>
  <c r="AF193" i="22"/>
  <c r="AG193" i="22" s="1"/>
  <c r="AH193" i="22" s="1"/>
  <c r="N170" i="21"/>
  <c r="AD198" i="21" s="1"/>
  <c r="AE198" i="21" s="1"/>
  <c r="M85" i="21"/>
  <c r="N231" i="21"/>
  <c r="G231" i="21"/>
  <c r="M83" i="21"/>
  <c r="M82" i="21"/>
  <c r="O83" i="21"/>
  <c r="O82" i="21"/>
  <c r="O85" i="21"/>
  <c r="G265" i="21"/>
  <c r="N265" i="21"/>
  <c r="M256" i="1"/>
  <c r="AD62" i="1"/>
  <c r="AD197" i="23" l="1"/>
  <c r="AE197" i="23" s="1"/>
  <c r="AF197" i="23" s="1"/>
  <c r="AG197" i="23" s="1"/>
  <c r="AH197" i="23" s="1"/>
  <c r="AD151" i="23"/>
  <c r="AE151" i="23" s="1"/>
  <c r="AF151" i="23" s="1"/>
  <c r="AG151" i="23" s="1"/>
  <c r="AH151" i="23" s="1"/>
  <c r="AD150" i="23"/>
  <c r="AE150" i="23" s="1"/>
  <c r="AF150" i="23" s="1"/>
  <c r="AG150" i="23" s="1"/>
  <c r="AH150" i="23" s="1"/>
  <c r="AD163" i="23"/>
  <c r="AE163" i="23" s="1"/>
  <c r="AF163" i="23" s="1"/>
  <c r="AG163" i="23" s="1"/>
  <c r="AH163" i="23" s="1"/>
  <c r="AD103" i="23"/>
  <c r="AE103" i="23" s="1"/>
  <c r="AF103" i="23" s="1"/>
  <c r="AG103" i="23" s="1"/>
  <c r="AH103" i="23" s="1"/>
  <c r="AD195" i="23"/>
  <c r="AE195" i="23" s="1"/>
  <c r="AF195" i="23" s="1"/>
  <c r="AG195" i="23" s="1"/>
  <c r="AH195" i="23" s="1"/>
  <c r="AD126" i="23"/>
  <c r="AE126" i="23" s="1"/>
  <c r="AF126" i="23" s="1"/>
  <c r="AG126" i="23" s="1"/>
  <c r="AH126" i="23" s="1"/>
  <c r="AD166" i="23"/>
  <c r="AE166" i="23" s="1"/>
  <c r="AF166" i="23" s="1"/>
  <c r="AG166" i="23" s="1"/>
  <c r="AH166" i="23" s="1"/>
  <c r="AD198" i="23"/>
  <c r="AE198" i="23" s="1"/>
  <c r="AF198" i="23" s="1"/>
  <c r="AG198" i="23" s="1"/>
  <c r="AH198" i="23" s="1"/>
  <c r="AD183" i="23"/>
  <c r="AE183" i="23" s="1"/>
  <c r="AF183" i="23" s="1"/>
  <c r="AG183" i="23" s="1"/>
  <c r="AH183" i="23" s="1"/>
  <c r="AD113" i="23"/>
  <c r="AE113" i="23" s="1"/>
  <c r="AF113" i="23" s="1"/>
  <c r="AG113" i="23" s="1"/>
  <c r="AH113" i="23" s="1"/>
  <c r="AD184" i="23"/>
  <c r="AE184" i="23" s="1"/>
  <c r="AF184" i="23" s="1"/>
  <c r="AG184" i="23" s="1"/>
  <c r="AH184" i="23" s="1"/>
  <c r="AD199" i="23"/>
  <c r="AE199" i="23" s="1"/>
  <c r="AF199" i="23" s="1"/>
  <c r="AG199" i="23" s="1"/>
  <c r="AH199" i="23" s="1"/>
  <c r="AD136" i="23"/>
  <c r="AE136" i="23" s="1"/>
  <c r="AF136" i="23" s="1"/>
  <c r="AG136" i="23" s="1"/>
  <c r="AH136" i="23" s="1"/>
  <c r="AD138" i="23"/>
  <c r="AE138" i="23" s="1"/>
  <c r="AF138" i="23" s="1"/>
  <c r="AG138" i="23" s="1"/>
  <c r="AH138" i="23" s="1"/>
  <c r="AD188" i="23"/>
  <c r="AE188" i="23" s="1"/>
  <c r="AF188" i="23" s="1"/>
  <c r="AG188" i="23" s="1"/>
  <c r="AH188" i="23" s="1"/>
  <c r="AD114" i="23"/>
  <c r="AE114" i="23" s="1"/>
  <c r="AF114" i="23" s="1"/>
  <c r="AG114" i="23" s="1"/>
  <c r="AH114" i="23" s="1"/>
  <c r="AD186" i="23"/>
  <c r="AE186" i="23" s="1"/>
  <c r="AF186" i="23" s="1"/>
  <c r="AG186" i="23" s="1"/>
  <c r="AH186" i="23" s="1"/>
  <c r="AD171" i="23"/>
  <c r="AE171" i="23" s="1"/>
  <c r="AF171" i="23" s="1"/>
  <c r="AG171" i="23" s="1"/>
  <c r="AH171" i="23" s="1"/>
  <c r="AD146" i="23"/>
  <c r="AE146" i="23" s="1"/>
  <c r="AF146" i="23" s="1"/>
  <c r="AG146" i="23" s="1"/>
  <c r="AH146" i="23" s="1"/>
  <c r="AD159" i="23"/>
  <c r="AE159" i="23" s="1"/>
  <c r="AF159" i="23" s="1"/>
  <c r="AG159" i="23" s="1"/>
  <c r="AH159" i="23" s="1"/>
  <c r="AD200" i="23"/>
  <c r="AE200" i="23" s="1"/>
  <c r="AF200" i="23" s="1"/>
  <c r="AG200" i="23" s="1"/>
  <c r="AH200" i="23" s="1"/>
  <c r="M242" i="23"/>
  <c r="M243" i="23" s="1"/>
  <c r="N79" i="23" s="1"/>
  <c r="AD192" i="23"/>
  <c r="AE192" i="23" s="1"/>
  <c r="AF192" i="23" s="1"/>
  <c r="AG192" i="23" s="1"/>
  <c r="AH192" i="23" s="1"/>
  <c r="AD127" i="23"/>
  <c r="AE127" i="23" s="1"/>
  <c r="AF127" i="23" s="1"/>
  <c r="AG127" i="23" s="1"/>
  <c r="AH127" i="23" s="1"/>
  <c r="AD134" i="23"/>
  <c r="AE134" i="23" s="1"/>
  <c r="AF134" i="23" s="1"/>
  <c r="AG134" i="23" s="1"/>
  <c r="AH134" i="23" s="1"/>
  <c r="AD154" i="23"/>
  <c r="AE154" i="23" s="1"/>
  <c r="AF154" i="23" s="1"/>
  <c r="AG154" i="23" s="1"/>
  <c r="AH154" i="23" s="1"/>
  <c r="AD102" i="23"/>
  <c r="AE102" i="23" s="1"/>
  <c r="AF102" i="23" s="1"/>
  <c r="AG102" i="23" s="1"/>
  <c r="AH102" i="23" s="1"/>
  <c r="AD196" i="23"/>
  <c r="AE196" i="23" s="1"/>
  <c r="AF196" i="23" s="1"/>
  <c r="AG196" i="23" s="1"/>
  <c r="AH196" i="23" s="1"/>
  <c r="AD129" i="23"/>
  <c r="AE129" i="23" s="1"/>
  <c r="AF129" i="23" s="1"/>
  <c r="AG129" i="23" s="1"/>
  <c r="AH129" i="23" s="1"/>
  <c r="AD143" i="23"/>
  <c r="AE143" i="23" s="1"/>
  <c r="AF143" i="23" s="1"/>
  <c r="AG143" i="23" s="1"/>
  <c r="AH143" i="23" s="1"/>
  <c r="AD142" i="23"/>
  <c r="AE142" i="23" s="1"/>
  <c r="AF142" i="23" s="1"/>
  <c r="AG142" i="23" s="1"/>
  <c r="AH142" i="23" s="1"/>
  <c r="AD141" i="23"/>
  <c r="AE141" i="23" s="1"/>
  <c r="AF141" i="23" s="1"/>
  <c r="AG141" i="23" s="1"/>
  <c r="AH141" i="23" s="1"/>
  <c r="AD177" i="23"/>
  <c r="AE177" i="23" s="1"/>
  <c r="AF177" i="23" s="1"/>
  <c r="AG177" i="23" s="1"/>
  <c r="AH177" i="23" s="1"/>
  <c r="AD187" i="23"/>
  <c r="AE187" i="23" s="1"/>
  <c r="AF187" i="23" s="1"/>
  <c r="AG187" i="23" s="1"/>
  <c r="AH187" i="23" s="1"/>
  <c r="AD115" i="23"/>
  <c r="AE115" i="23" s="1"/>
  <c r="AF115" i="23" s="1"/>
  <c r="AG115" i="23" s="1"/>
  <c r="AH115" i="23" s="1"/>
  <c r="N242" i="23"/>
  <c r="AD145" i="23"/>
  <c r="AE145" i="23" s="1"/>
  <c r="AF145" i="23" s="1"/>
  <c r="AG145" i="23" s="1"/>
  <c r="AH145" i="23" s="1"/>
  <c r="AD148" i="23"/>
  <c r="AE148" i="23" s="1"/>
  <c r="AF148" i="23" s="1"/>
  <c r="AG148" i="23" s="1"/>
  <c r="AD175" i="23"/>
  <c r="AE175" i="23" s="1"/>
  <c r="AF175" i="23" s="1"/>
  <c r="AG175" i="23" s="1"/>
  <c r="AH175" i="23" s="1"/>
  <c r="AD117" i="23"/>
  <c r="AE117" i="23" s="1"/>
  <c r="AF117" i="23" s="1"/>
  <c r="AG117" i="23" s="1"/>
  <c r="AH117" i="23" s="1"/>
  <c r="AD165" i="23"/>
  <c r="AE165" i="23" s="1"/>
  <c r="AF165" i="23" s="1"/>
  <c r="AG165" i="23" s="1"/>
  <c r="AH165" i="23" s="1"/>
  <c r="AD124" i="23"/>
  <c r="AE124" i="23" s="1"/>
  <c r="AF124" i="23" s="1"/>
  <c r="AG124" i="23" s="1"/>
  <c r="AH124" i="23" s="1"/>
  <c r="M230" i="23"/>
  <c r="AD181" i="23"/>
  <c r="AE181" i="23" s="1"/>
  <c r="AF181" i="23" s="1"/>
  <c r="AG181" i="23" s="1"/>
  <c r="AH181" i="23" s="1"/>
  <c r="AD194" i="23"/>
  <c r="AE194" i="23" s="1"/>
  <c r="AF194" i="23" s="1"/>
  <c r="AG194" i="23" s="1"/>
  <c r="AH194" i="23" s="1"/>
  <c r="AD153" i="23"/>
  <c r="AE153" i="23" s="1"/>
  <c r="AF153" i="23" s="1"/>
  <c r="AG153" i="23" s="1"/>
  <c r="AH153" i="23" s="1"/>
  <c r="AD111" i="23"/>
  <c r="AE111" i="23" s="1"/>
  <c r="AF111" i="23" s="1"/>
  <c r="AG111" i="23" s="1"/>
  <c r="AH111" i="23" s="1"/>
  <c r="AD160" i="23"/>
  <c r="AE160" i="23" s="1"/>
  <c r="AF160" i="23" s="1"/>
  <c r="AG160" i="23" s="1"/>
  <c r="AH160" i="23" s="1"/>
  <c r="AD147" i="23"/>
  <c r="AE147" i="23" s="1"/>
  <c r="AF147" i="23" s="1"/>
  <c r="AG147" i="23" s="1"/>
  <c r="AH147" i="23" s="1"/>
  <c r="AD118" i="23"/>
  <c r="AE118" i="23" s="1"/>
  <c r="AF118" i="23" s="1"/>
  <c r="AG118" i="23" s="1"/>
  <c r="AH118" i="23" s="1"/>
  <c r="AD133" i="23"/>
  <c r="AE133" i="23" s="1"/>
  <c r="AF133" i="23" s="1"/>
  <c r="AG133" i="23" s="1"/>
  <c r="AH133" i="23" s="1"/>
  <c r="AD182" i="23"/>
  <c r="AE182" i="23" s="1"/>
  <c r="AF182" i="23" s="1"/>
  <c r="AG182" i="23" s="1"/>
  <c r="AH182" i="23" s="1"/>
  <c r="AD144" i="23"/>
  <c r="AE144" i="23" s="1"/>
  <c r="AF144" i="23" s="1"/>
  <c r="AG144" i="23" s="1"/>
  <c r="AH144" i="23" s="1"/>
  <c r="AD105" i="23"/>
  <c r="AE105" i="23" s="1"/>
  <c r="AF105" i="23" s="1"/>
  <c r="AG105" i="23" s="1"/>
  <c r="AH105" i="23" s="1"/>
  <c r="M248" i="23"/>
  <c r="AD139" i="23"/>
  <c r="AE139" i="23" s="1"/>
  <c r="AF139" i="23" s="1"/>
  <c r="AG139" i="23" s="1"/>
  <c r="AH139" i="23" s="1"/>
  <c r="AD155" i="23"/>
  <c r="AE155" i="23" s="1"/>
  <c r="AF155" i="23" s="1"/>
  <c r="AG155" i="23" s="1"/>
  <c r="AH155" i="23" s="1"/>
  <c r="AD202" i="23"/>
  <c r="AE202" i="23" s="1"/>
  <c r="AF202" i="23" s="1"/>
  <c r="AD161" i="23"/>
  <c r="AE161" i="23" s="1"/>
  <c r="AF161" i="23" s="1"/>
  <c r="AG161" i="23" s="1"/>
  <c r="AH161" i="23" s="1"/>
  <c r="AD185" i="23"/>
  <c r="AE185" i="23" s="1"/>
  <c r="AF185" i="23" s="1"/>
  <c r="AG185" i="23" s="1"/>
  <c r="AH185" i="23" s="1"/>
  <c r="AD157" i="23"/>
  <c r="AE157" i="23" s="1"/>
  <c r="AF157" i="23" s="1"/>
  <c r="AG157" i="23" s="1"/>
  <c r="AH157" i="23" s="1"/>
  <c r="AD119" i="23"/>
  <c r="AE119" i="23" s="1"/>
  <c r="AF119" i="23" s="1"/>
  <c r="AG119" i="23" s="1"/>
  <c r="AH119" i="23" s="1"/>
  <c r="AD158" i="23"/>
  <c r="AE158" i="23" s="1"/>
  <c r="AF158" i="23" s="1"/>
  <c r="AG158" i="23" s="1"/>
  <c r="AH158" i="23" s="1"/>
  <c r="AD135" i="23"/>
  <c r="AE135" i="23" s="1"/>
  <c r="AF135" i="23" s="1"/>
  <c r="AG135" i="23" s="1"/>
  <c r="AH135" i="23" s="1"/>
  <c r="AD168" i="23"/>
  <c r="AE168" i="23" s="1"/>
  <c r="AF168" i="23" s="1"/>
  <c r="AG168" i="23" s="1"/>
  <c r="AH168" i="23" s="1"/>
  <c r="AD132" i="23"/>
  <c r="AE132" i="23" s="1"/>
  <c r="AF132" i="23" s="1"/>
  <c r="AG132" i="23" s="1"/>
  <c r="AH132" i="23" s="1"/>
  <c r="AD110" i="23"/>
  <c r="AE110" i="23" s="1"/>
  <c r="AF110" i="23" s="1"/>
  <c r="AG110" i="23" s="1"/>
  <c r="AH110" i="23" s="1"/>
  <c r="AD130" i="23"/>
  <c r="AE130" i="23" s="1"/>
  <c r="AF130" i="23" s="1"/>
  <c r="AG130" i="23" s="1"/>
  <c r="AH130" i="23" s="1"/>
  <c r="AD201" i="23"/>
  <c r="AE201" i="23" s="1"/>
  <c r="AF201" i="23" s="1"/>
  <c r="AG201" i="23" s="1"/>
  <c r="AH201" i="23" s="1"/>
  <c r="AD167" i="23"/>
  <c r="AE167" i="23" s="1"/>
  <c r="AF167" i="23" s="1"/>
  <c r="AG167" i="23" s="1"/>
  <c r="AH167" i="23" s="1"/>
  <c r="AD121" i="23"/>
  <c r="AE121" i="23" s="1"/>
  <c r="AF121" i="23" s="1"/>
  <c r="AG121" i="23" s="1"/>
  <c r="AH121" i="23" s="1"/>
  <c r="AD101" i="23"/>
  <c r="AE101" i="23" s="1"/>
  <c r="AF101" i="23" s="1"/>
  <c r="AG101" i="23" s="1"/>
  <c r="AH101" i="23" s="1"/>
  <c r="AD149" i="23"/>
  <c r="AE149" i="23" s="1"/>
  <c r="AF149" i="23" s="1"/>
  <c r="AG149" i="23" s="1"/>
  <c r="AH149" i="23" s="1"/>
  <c r="AD112" i="23"/>
  <c r="AE112" i="23" s="1"/>
  <c r="AF112" i="23" s="1"/>
  <c r="AG112" i="23" s="1"/>
  <c r="AH112" i="23" s="1"/>
  <c r="AD108" i="23"/>
  <c r="AE108" i="23" s="1"/>
  <c r="AF108" i="23" s="1"/>
  <c r="AG108" i="23" s="1"/>
  <c r="AH108" i="23" s="1"/>
  <c r="AD120" i="23"/>
  <c r="AE120" i="23" s="1"/>
  <c r="AF120" i="23" s="1"/>
  <c r="AG120" i="23" s="1"/>
  <c r="AH120" i="23" s="1"/>
  <c r="AD189" i="23"/>
  <c r="AE189" i="23" s="1"/>
  <c r="AF189" i="23" s="1"/>
  <c r="AG189" i="23" s="1"/>
  <c r="AH189" i="23" s="1"/>
  <c r="AD191" i="23"/>
  <c r="AE191" i="23" s="1"/>
  <c r="AF191" i="23" s="1"/>
  <c r="AG191" i="23" s="1"/>
  <c r="AH191" i="23" s="1"/>
  <c r="AD179" i="23"/>
  <c r="AE179" i="23" s="1"/>
  <c r="AF179" i="23" s="1"/>
  <c r="AG179" i="23" s="1"/>
  <c r="AH179" i="23" s="1"/>
  <c r="AD178" i="23"/>
  <c r="AE178" i="23" s="1"/>
  <c r="AF178" i="23" s="1"/>
  <c r="AG178" i="23" s="1"/>
  <c r="AH178" i="23" s="1"/>
  <c r="AD173" i="23"/>
  <c r="AE173" i="23" s="1"/>
  <c r="AF173" i="23" s="1"/>
  <c r="AG173" i="23" s="1"/>
  <c r="AH173" i="23" s="1"/>
  <c r="AD123" i="23"/>
  <c r="AE123" i="23" s="1"/>
  <c r="AF123" i="23" s="1"/>
  <c r="AG123" i="23" s="1"/>
  <c r="AH123" i="23" s="1"/>
  <c r="AD107" i="23"/>
  <c r="AE107" i="23" s="1"/>
  <c r="AF107" i="23" s="1"/>
  <c r="AG107" i="23" s="1"/>
  <c r="AH107" i="23" s="1"/>
  <c r="AD164" i="23"/>
  <c r="AE164" i="23" s="1"/>
  <c r="AF164" i="23" s="1"/>
  <c r="AG164" i="23" s="1"/>
  <c r="AH164" i="23" s="1"/>
  <c r="AD100" i="23"/>
  <c r="AE100" i="23" s="1"/>
  <c r="AF100" i="23" s="1"/>
  <c r="AG100" i="23" s="1"/>
  <c r="AD176" i="23"/>
  <c r="AE176" i="23" s="1"/>
  <c r="AF176" i="23" s="1"/>
  <c r="AG176" i="23" s="1"/>
  <c r="AH176" i="23" s="1"/>
  <c r="AD172" i="23"/>
  <c r="AE172" i="23" s="1"/>
  <c r="AF172" i="23" s="1"/>
  <c r="AG172" i="23" s="1"/>
  <c r="AH172" i="23" s="1"/>
  <c r="AD122" i="23"/>
  <c r="AE122" i="23" s="1"/>
  <c r="AF122" i="23" s="1"/>
  <c r="AG122" i="23" s="1"/>
  <c r="AH122" i="23" s="1"/>
  <c r="AD106" i="23"/>
  <c r="AE106" i="23" s="1"/>
  <c r="AF106" i="23" s="1"/>
  <c r="AG106" i="23" s="1"/>
  <c r="AH106" i="23" s="1"/>
  <c r="AD156" i="23"/>
  <c r="AE156" i="23" s="1"/>
  <c r="AF156" i="23" s="1"/>
  <c r="AG156" i="23" s="1"/>
  <c r="AH156" i="23" s="1"/>
  <c r="M264" i="23"/>
  <c r="AD180" i="23"/>
  <c r="AE180" i="23" s="1"/>
  <c r="AF180" i="23" s="1"/>
  <c r="AG180" i="23" s="1"/>
  <c r="AH180" i="23" s="1"/>
  <c r="AD190" i="23"/>
  <c r="AE190" i="23" s="1"/>
  <c r="AF190" i="23" s="1"/>
  <c r="AG190" i="23" s="1"/>
  <c r="AH190" i="23" s="1"/>
  <c r="AD125" i="23"/>
  <c r="AE125" i="23" s="1"/>
  <c r="AF125" i="23" s="1"/>
  <c r="AG125" i="23" s="1"/>
  <c r="AH125" i="23" s="1"/>
  <c r="AD109" i="23"/>
  <c r="AE109" i="23" s="1"/>
  <c r="AF109" i="23" s="1"/>
  <c r="AG109" i="23" s="1"/>
  <c r="AH109" i="23" s="1"/>
  <c r="AD131" i="23"/>
  <c r="AE131" i="23" s="1"/>
  <c r="AF131" i="23" s="1"/>
  <c r="AG131" i="23" s="1"/>
  <c r="AH131" i="23" s="1"/>
  <c r="AD170" i="23"/>
  <c r="AE170" i="23" s="1"/>
  <c r="AF170" i="23" s="1"/>
  <c r="AG170" i="23" s="1"/>
  <c r="AH170" i="23" s="1"/>
  <c r="AD128" i="23"/>
  <c r="AE128" i="23" s="1"/>
  <c r="AF128" i="23" s="1"/>
  <c r="AG128" i="23" s="1"/>
  <c r="AH128" i="23" s="1"/>
  <c r="AD174" i="23"/>
  <c r="AE174" i="23" s="1"/>
  <c r="AF174" i="23" s="1"/>
  <c r="AG174" i="23" s="1"/>
  <c r="AH174" i="23" s="1"/>
  <c r="AD140" i="23"/>
  <c r="AE140" i="23" s="1"/>
  <c r="AF140" i="23" s="1"/>
  <c r="AG140" i="23" s="1"/>
  <c r="AH140" i="23" s="1"/>
  <c r="AD193" i="23"/>
  <c r="AE193" i="23" s="1"/>
  <c r="AF193" i="23" s="1"/>
  <c r="AG193" i="23" s="1"/>
  <c r="AH193" i="23" s="1"/>
  <c r="AD169" i="23"/>
  <c r="AE169" i="23" s="1"/>
  <c r="AF169" i="23" s="1"/>
  <c r="AG169" i="23" s="1"/>
  <c r="AH169" i="23" s="1"/>
  <c r="AD152" i="23"/>
  <c r="AE152" i="23" s="1"/>
  <c r="AF152" i="23" s="1"/>
  <c r="AG152" i="23" s="1"/>
  <c r="AH152" i="23" s="1"/>
  <c r="AD162" i="23"/>
  <c r="AE162" i="23" s="1"/>
  <c r="AF162" i="23" s="1"/>
  <c r="AG162" i="23" s="1"/>
  <c r="AH162" i="23" s="1"/>
  <c r="AD137" i="23"/>
  <c r="AE137" i="23" s="1"/>
  <c r="AF137" i="23" s="1"/>
  <c r="AG137" i="23" s="1"/>
  <c r="AH137" i="23" s="1"/>
  <c r="AD116" i="23"/>
  <c r="AE116" i="23" s="1"/>
  <c r="AF116" i="23" s="1"/>
  <c r="AG116" i="23" s="1"/>
  <c r="AH116" i="23" s="1"/>
  <c r="AC96" i="22"/>
  <c r="G245" i="22"/>
  <c r="M245" i="22" s="1"/>
  <c r="N77" i="22"/>
  <c r="N243" i="22"/>
  <c r="N79" i="22"/>
  <c r="AD104" i="21"/>
  <c r="AE104" i="21" s="1"/>
  <c r="AF104" i="21" s="1"/>
  <c r="AG104" i="21" s="1"/>
  <c r="AH104" i="21" s="1"/>
  <c r="AD131" i="21"/>
  <c r="AE131" i="21" s="1"/>
  <c r="AF131" i="21" s="1"/>
  <c r="AG131" i="21" s="1"/>
  <c r="AH131" i="21" s="1"/>
  <c r="AD144" i="21"/>
  <c r="AE144" i="21" s="1"/>
  <c r="AF144" i="21" s="1"/>
  <c r="AG144" i="21" s="1"/>
  <c r="AH144" i="21" s="1"/>
  <c r="AD129" i="21"/>
  <c r="AE129" i="21" s="1"/>
  <c r="AF129" i="21" s="1"/>
  <c r="AG129" i="21" s="1"/>
  <c r="AH129" i="21" s="1"/>
  <c r="AD181" i="21"/>
  <c r="AE181" i="21" s="1"/>
  <c r="AF181" i="21" s="1"/>
  <c r="AG181" i="21" s="1"/>
  <c r="AH181" i="21" s="1"/>
  <c r="AD102" i="21"/>
  <c r="AE102" i="21" s="1"/>
  <c r="AF102" i="21" s="1"/>
  <c r="AG102" i="21" s="1"/>
  <c r="AH102" i="21" s="1"/>
  <c r="AD119" i="21"/>
  <c r="AE119" i="21" s="1"/>
  <c r="AF119" i="21" s="1"/>
  <c r="AG119" i="21" s="1"/>
  <c r="AH119" i="21" s="1"/>
  <c r="AD142" i="21"/>
  <c r="AE142" i="21" s="1"/>
  <c r="AF142" i="21" s="1"/>
  <c r="AG142" i="21" s="1"/>
  <c r="AH142" i="21" s="1"/>
  <c r="AD190" i="21"/>
  <c r="AE190" i="21" s="1"/>
  <c r="AF190" i="21" s="1"/>
  <c r="AG190" i="21" s="1"/>
  <c r="AH190" i="21" s="1"/>
  <c r="AD149" i="21"/>
  <c r="AE149" i="21" s="1"/>
  <c r="AF149" i="21" s="1"/>
  <c r="AG149" i="21" s="1"/>
  <c r="AH149" i="21" s="1"/>
  <c r="AD120" i="21"/>
  <c r="AE120" i="21" s="1"/>
  <c r="AF120" i="21" s="1"/>
  <c r="AG120" i="21" s="1"/>
  <c r="AH120" i="21" s="1"/>
  <c r="AD158" i="21"/>
  <c r="AE158" i="21" s="1"/>
  <c r="AF158" i="21" s="1"/>
  <c r="AG158" i="21" s="1"/>
  <c r="AH158" i="21" s="1"/>
  <c r="AD118" i="21"/>
  <c r="AE118" i="21" s="1"/>
  <c r="AF118" i="21" s="1"/>
  <c r="AG118" i="21" s="1"/>
  <c r="AH118" i="21" s="1"/>
  <c r="AD188" i="21"/>
  <c r="AE188" i="21" s="1"/>
  <c r="AF188" i="21" s="1"/>
  <c r="AG188" i="21" s="1"/>
  <c r="AH188" i="21" s="1"/>
  <c r="AD201" i="21"/>
  <c r="AE201" i="21" s="1"/>
  <c r="AF201" i="21" s="1"/>
  <c r="AG201" i="21" s="1"/>
  <c r="AH201" i="21" s="1"/>
  <c r="AD143" i="21"/>
  <c r="AE143" i="21" s="1"/>
  <c r="AF143" i="21" s="1"/>
  <c r="AG143" i="21" s="1"/>
  <c r="AH143" i="21" s="1"/>
  <c r="AD160" i="21"/>
  <c r="AE160" i="21" s="1"/>
  <c r="AF160" i="21" s="1"/>
  <c r="AG160" i="21" s="1"/>
  <c r="AH160" i="21" s="1"/>
  <c r="AD172" i="21"/>
  <c r="AE172" i="21" s="1"/>
  <c r="AF172" i="21" s="1"/>
  <c r="AG172" i="21" s="1"/>
  <c r="AH172" i="21" s="1"/>
  <c r="AD182" i="21"/>
  <c r="AE182" i="21" s="1"/>
  <c r="AF182" i="21" s="1"/>
  <c r="AG182" i="21" s="1"/>
  <c r="AH182" i="21" s="1"/>
  <c r="AD167" i="21"/>
  <c r="AE167" i="21" s="1"/>
  <c r="AF167" i="21" s="1"/>
  <c r="AG167" i="21" s="1"/>
  <c r="AH167" i="21" s="1"/>
  <c r="M248" i="21"/>
  <c r="AD117" i="21"/>
  <c r="AE117" i="21" s="1"/>
  <c r="AF117" i="21" s="1"/>
  <c r="AG117" i="21" s="1"/>
  <c r="AH117" i="21" s="1"/>
  <c r="AD139" i="21"/>
  <c r="AE139" i="21" s="1"/>
  <c r="AF139" i="21" s="1"/>
  <c r="AG139" i="21" s="1"/>
  <c r="AH139" i="21" s="1"/>
  <c r="AD179" i="21"/>
  <c r="AE179" i="21" s="1"/>
  <c r="AF179" i="21" s="1"/>
  <c r="AG179" i="21" s="1"/>
  <c r="AH179" i="21" s="1"/>
  <c r="AD196" i="21"/>
  <c r="AE196" i="21" s="1"/>
  <c r="AF196" i="21" s="1"/>
  <c r="AG196" i="21" s="1"/>
  <c r="AH196" i="21" s="1"/>
  <c r="AD169" i="21"/>
  <c r="AE169" i="21" s="1"/>
  <c r="AF169" i="21" s="1"/>
  <c r="AG169" i="21" s="1"/>
  <c r="AH169" i="21" s="1"/>
  <c r="AD189" i="21"/>
  <c r="AE189" i="21" s="1"/>
  <c r="AF189" i="21" s="1"/>
  <c r="AG189" i="21" s="1"/>
  <c r="AH189" i="21" s="1"/>
  <c r="AD105" i="21"/>
  <c r="AE105" i="21" s="1"/>
  <c r="AF105" i="21" s="1"/>
  <c r="AG105" i="21" s="1"/>
  <c r="AH105" i="21" s="1"/>
  <c r="AD107" i="21"/>
  <c r="AE107" i="21" s="1"/>
  <c r="AF107" i="21" s="1"/>
  <c r="AG107" i="21" s="1"/>
  <c r="AH107" i="21" s="1"/>
  <c r="AD125" i="21"/>
  <c r="AE125" i="21" s="1"/>
  <c r="AF125" i="21" s="1"/>
  <c r="AG125" i="21" s="1"/>
  <c r="AH125" i="21" s="1"/>
  <c r="AD108" i="21"/>
  <c r="AE108" i="21" s="1"/>
  <c r="AF108" i="21" s="1"/>
  <c r="AG108" i="21" s="1"/>
  <c r="AH108" i="21" s="1"/>
  <c r="AD150" i="21"/>
  <c r="AE150" i="21" s="1"/>
  <c r="AF150" i="21" s="1"/>
  <c r="AG150" i="21" s="1"/>
  <c r="AH150" i="21" s="1"/>
  <c r="AD122" i="21"/>
  <c r="AE122" i="21" s="1"/>
  <c r="AF122" i="21" s="1"/>
  <c r="AG122" i="21" s="1"/>
  <c r="AH122" i="21" s="1"/>
  <c r="AD191" i="21"/>
  <c r="AE191" i="21" s="1"/>
  <c r="AF191" i="21" s="1"/>
  <c r="AG191" i="21" s="1"/>
  <c r="AH191" i="21" s="1"/>
  <c r="AD146" i="21"/>
  <c r="AE146" i="21" s="1"/>
  <c r="AF146" i="21" s="1"/>
  <c r="AG146" i="21" s="1"/>
  <c r="AH146" i="21" s="1"/>
  <c r="AD199" i="21"/>
  <c r="AE199" i="21" s="1"/>
  <c r="AF199" i="21" s="1"/>
  <c r="AG199" i="21" s="1"/>
  <c r="AH199" i="21" s="1"/>
  <c r="AD154" i="21"/>
  <c r="AE154" i="21" s="1"/>
  <c r="AF154" i="21" s="1"/>
  <c r="AG154" i="21" s="1"/>
  <c r="AH154" i="21" s="1"/>
  <c r="AD171" i="21"/>
  <c r="AE171" i="21" s="1"/>
  <c r="AF171" i="21" s="1"/>
  <c r="AG171" i="21" s="1"/>
  <c r="AH171" i="21" s="1"/>
  <c r="AD162" i="21"/>
  <c r="AE162" i="21" s="1"/>
  <c r="AF162" i="21" s="1"/>
  <c r="AG162" i="21" s="1"/>
  <c r="AH162" i="21" s="1"/>
  <c r="AD193" i="21"/>
  <c r="AE193" i="21" s="1"/>
  <c r="AF193" i="21" s="1"/>
  <c r="AG193" i="21" s="1"/>
  <c r="AH193" i="21" s="1"/>
  <c r="N242" i="21"/>
  <c r="M264" i="21"/>
  <c r="AD113" i="21"/>
  <c r="AE113" i="21" s="1"/>
  <c r="AF113" i="21" s="1"/>
  <c r="AG113" i="21" s="1"/>
  <c r="AH113" i="21" s="1"/>
  <c r="AD141" i="21"/>
  <c r="AE141" i="21" s="1"/>
  <c r="AF141" i="21" s="1"/>
  <c r="AG141" i="21" s="1"/>
  <c r="AH141" i="21" s="1"/>
  <c r="AD115" i="21"/>
  <c r="AE115" i="21" s="1"/>
  <c r="AF115" i="21" s="1"/>
  <c r="AG115" i="21" s="1"/>
  <c r="AH115" i="21" s="1"/>
  <c r="AD101" i="21"/>
  <c r="AE101" i="21" s="1"/>
  <c r="AF101" i="21" s="1"/>
  <c r="AG101" i="21" s="1"/>
  <c r="AH101" i="21" s="1"/>
  <c r="AD103" i="21"/>
  <c r="AE103" i="21" s="1"/>
  <c r="AF103" i="21" s="1"/>
  <c r="AG103" i="21" s="1"/>
  <c r="AH103" i="21" s="1"/>
  <c r="AD134" i="21"/>
  <c r="AE134" i="21" s="1"/>
  <c r="AF134" i="21" s="1"/>
  <c r="AG134" i="21" s="1"/>
  <c r="AD112" i="21"/>
  <c r="AE112" i="21" s="1"/>
  <c r="AF112" i="21" s="1"/>
  <c r="AG112" i="21" s="1"/>
  <c r="AH112" i="21" s="1"/>
  <c r="AD128" i="21"/>
  <c r="AE128" i="21" s="1"/>
  <c r="AF128" i="21" s="1"/>
  <c r="AG128" i="21" s="1"/>
  <c r="AH128" i="21" s="1"/>
  <c r="AD152" i="21"/>
  <c r="AE152" i="21" s="1"/>
  <c r="AF152" i="21" s="1"/>
  <c r="AG152" i="21" s="1"/>
  <c r="AD110" i="21"/>
  <c r="AE110" i="21" s="1"/>
  <c r="AF110" i="21" s="1"/>
  <c r="AG110" i="21" s="1"/>
  <c r="AH110" i="21" s="1"/>
  <c r="AD126" i="21"/>
  <c r="AE126" i="21" s="1"/>
  <c r="AF126" i="21" s="1"/>
  <c r="AG126" i="21" s="1"/>
  <c r="AH126" i="21" s="1"/>
  <c r="AD173" i="21"/>
  <c r="AE173" i="21" s="1"/>
  <c r="AF173" i="21" s="1"/>
  <c r="AG173" i="21" s="1"/>
  <c r="AH173" i="21" s="1"/>
  <c r="AD100" i="21"/>
  <c r="AE100" i="21" s="1"/>
  <c r="AF100" i="21" s="1"/>
  <c r="AG100" i="21" s="1"/>
  <c r="AD138" i="21"/>
  <c r="AE138" i="21" s="1"/>
  <c r="AF138" i="21" s="1"/>
  <c r="AG138" i="21" s="1"/>
  <c r="AH138" i="21" s="1"/>
  <c r="AD148" i="21"/>
  <c r="AE148" i="21" s="1"/>
  <c r="AF148" i="21" s="1"/>
  <c r="AG148" i="21" s="1"/>
  <c r="AH148" i="21" s="1"/>
  <c r="AD174" i="21"/>
  <c r="AE174" i="21" s="1"/>
  <c r="AF174" i="21" s="1"/>
  <c r="AG174" i="21" s="1"/>
  <c r="AH174" i="21" s="1"/>
  <c r="AD200" i="21"/>
  <c r="AE200" i="21" s="1"/>
  <c r="AF200" i="21" s="1"/>
  <c r="AG200" i="21" s="1"/>
  <c r="AH200" i="21" s="1"/>
  <c r="AD170" i="21"/>
  <c r="AE170" i="21" s="1"/>
  <c r="AF170" i="21" s="1"/>
  <c r="AG170" i="21" s="1"/>
  <c r="AH170" i="21" s="1"/>
  <c r="AD157" i="21"/>
  <c r="AE157" i="21" s="1"/>
  <c r="AF157" i="21" s="1"/>
  <c r="AG157" i="21" s="1"/>
  <c r="AH157" i="21" s="1"/>
  <c r="AD197" i="21"/>
  <c r="AE197" i="21" s="1"/>
  <c r="AF197" i="21" s="1"/>
  <c r="AG197" i="21" s="1"/>
  <c r="AH197" i="21" s="1"/>
  <c r="AD178" i="21"/>
  <c r="AE178" i="21" s="1"/>
  <c r="AF178" i="21" s="1"/>
  <c r="AG178" i="21" s="1"/>
  <c r="AH178" i="21" s="1"/>
  <c r="AD151" i="21"/>
  <c r="AE151" i="21" s="1"/>
  <c r="AF151" i="21" s="1"/>
  <c r="AG151" i="21" s="1"/>
  <c r="AH151" i="21" s="1"/>
  <c r="AD164" i="21"/>
  <c r="AE164" i="21" s="1"/>
  <c r="AF164" i="21" s="1"/>
  <c r="AG164" i="21" s="1"/>
  <c r="AH164" i="21" s="1"/>
  <c r="AD184" i="21"/>
  <c r="AE184" i="21" s="1"/>
  <c r="AF184" i="21" s="1"/>
  <c r="AG184" i="21" s="1"/>
  <c r="AH184" i="21" s="1"/>
  <c r="AD202" i="21"/>
  <c r="AE202" i="21" s="1"/>
  <c r="AH202" i="21" s="1"/>
  <c r="M242" i="21"/>
  <c r="M243" i="21" s="1"/>
  <c r="F245" i="21" s="1"/>
  <c r="AD132" i="21"/>
  <c r="AE132" i="21" s="1"/>
  <c r="AF132" i="21" s="1"/>
  <c r="AG132" i="21" s="1"/>
  <c r="AH132" i="21" s="1"/>
  <c r="AD156" i="21"/>
  <c r="AE156" i="21" s="1"/>
  <c r="AF156" i="21" s="1"/>
  <c r="AG156" i="21" s="1"/>
  <c r="AH156" i="21" s="1"/>
  <c r="AD127" i="21"/>
  <c r="AE127" i="21" s="1"/>
  <c r="AF127" i="21" s="1"/>
  <c r="AG127" i="21" s="1"/>
  <c r="AH127" i="21" s="1"/>
  <c r="AD124" i="21"/>
  <c r="AE124" i="21" s="1"/>
  <c r="AF124" i="21" s="1"/>
  <c r="AG124" i="21" s="1"/>
  <c r="AH124" i="21" s="1"/>
  <c r="AD106" i="21"/>
  <c r="AE106" i="21" s="1"/>
  <c r="AF106" i="21" s="1"/>
  <c r="AG106" i="21" s="1"/>
  <c r="AH106" i="21" s="1"/>
  <c r="AD147" i="21"/>
  <c r="AE147" i="21" s="1"/>
  <c r="AF147" i="21" s="1"/>
  <c r="AG147" i="21" s="1"/>
  <c r="AH147" i="21" s="1"/>
  <c r="AD135" i="21"/>
  <c r="AE135" i="21" s="1"/>
  <c r="AF135" i="21" s="1"/>
  <c r="AG135" i="21" s="1"/>
  <c r="AH135" i="21" s="1"/>
  <c r="AD168" i="21"/>
  <c r="AE168" i="21" s="1"/>
  <c r="AF168" i="21" s="1"/>
  <c r="AG168" i="21" s="1"/>
  <c r="AH168" i="21" s="1"/>
  <c r="AD163" i="21"/>
  <c r="AE163" i="21" s="1"/>
  <c r="AF163" i="21" s="1"/>
  <c r="AG163" i="21" s="1"/>
  <c r="AH163" i="21" s="1"/>
  <c r="AD176" i="21"/>
  <c r="AE176" i="21" s="1"/>
  <c r="AF176" i="21" s="1"/>
  <c r="AG176" i="21" s="1"/>
  <c r="AH176" i="21" s="1"/>
  <c r="AD192" i="21"/>
  <c r="AE192" i="21" s="1"/>
  <c r="AF192" i="21" s="1"/>
  <c r="AG192" i="21" s="1"/>
  <c r="AH192" i="21" s="1"/>
  <c r="AD183" i="21"/>
  <c r="AE183" i="21" s="1"/>
  <c r="AF183" i="21" s="1"/>
  <c r="AG183" i="21" s="1"/>
  <c r="AH183" i="21" s="1"/>
  <c r="AD194" i="21"/>
  <c r="AE194" i="21" s="1"/>
  <c r="AF194" i="21" s="1"/>
  <c r="AG194" i="21" s="1"/>
  <c r="AH194" i="21" s="1"/>
  <c r="M230" i="21"/>
  <c r="AD121" i="21"/>
  <c r="AE121" i="21" s="1"/>
  <c r="AD145" i="21"/>
  <c r="AE145" i="21" s="1"/>
  <c r="AF145" i="21" s="1"/>
  <c r="AG145" i="21" s="1"/>
  <c r="AH145" i="21" s="1"/>
  <c r="AD123" i="21"/>
  <c r="AE123" i="21" s="1"/>
  <c r="AF123" i="21" s="1"/>
  <c r="AG123" i="21" s="1"/>
  <c r="AH123" i="21" s="1"/>
  <c r="AD109" i="21"/>
  <c r="AE109" i="21" s="1"/>
  <c r="AF109" i="21" s="1"/>
  <c r="AG109" i="21" s="1"/>
  <c r="AH109" i="21" s="1"/>
  <c r="AD111" i="21"/>
  <c r="AE111" i="21" s="1"/>
  <c r="AF111" i="21" s="1"/>
  <c r="AG111" i="21" s="1"/>
  <c r="AH111" i="21" s="1"/>
  <c r="AD137" i="21"/>
  <c r="AE137" i="21" s="1"/>
  <c r="AF137" i="21" s="1"/>
  <c r="AG137" i="21" s="1"/>
  <c r="AH137" i="21" s="1"/>
  <c r="AD116" i="21"/>
  <c r="AE116" i="21" s="1"/>
  <c r="AF116" i="21" s="1"/>
  <c r="AG116" i="21" s="1"/>
  <c r="AH116" i="21" s="1"/>
  <c r="AD136" i="21"/>
  <c r="AE136" i="21" s="1"/>
  <c r="AF136" i="21" s="1"/>
  <c r="AG136" i="21" s="1"/>
  <c r="AH136" i="21" s="1"/>
  <c r="AD177" i="21"/>
  <c r="AE177" i="21" s="1"/>
  <c r="AF177" i="21" s="1"/>
  <c r="AG177" i="21" s="1"/>
  <c r="AD114" i="21"/>
  <c r="AE114" i="21" s="1"/>
  <c r="AF114" i="21" s="1"/>
  <c r="AG114" i="21" s="1"/>
  <c r="AH114" i="21" s="1"/>
  <c r="AD133" i="21"/>
  <c r="AE133" i="21" s="1"/>
  <c r="AF133" i="21" s="1"/>
  <c r="AG133" i="21" s="1"/>
  <c r="AH133" i="21" s="1"/>
  <c r="AD175" i="21"/>
  <c r="AE175" i="21" s="1"/>
  <c r="AF175" i="21" s="1"/>
  <c r="AG175" i="21" s="1"/>
  <c r="AH175" i="21" s="1"/>
  <c r="AD130" i="21"/>
  <c r="AE130" i="21" s="1"/>
  <c r="AF130" i="21" s="1"/>
  <c r="AG130" i="21" s="1"/>
  <c r="AH130" i="21" s="1"/>
  <c r="AD140" i="21"/>
  <c r="AE140" i="21" s="1"/>
  <c r="AF140" i="21" s="1"/>
  <c r="AG140" i="21" s="1"/>
  <c r="AD161" i="21"/>
  <c r="AE161" i="21" s="1"/>
  <c r="AF161" i="21" s="1"/>
  <c r="AG161" i="21" s="1"/>
  <c r="AH161" i="21" s="1"/>
  <c r="AD195" i="21"/>
  <c r="AE195" i="21" s="1"/>
  <c r="AF195" i="21" s="1"/>
  <c r="AG195" i="21" s="1"/>
  <c r="AH195" i="21" s="1"/>
  <c r="AD155" i="21"/>
  <c r="AE155" i="21" s="1"/>
  <c r="AF155" i="21" s="1"/>
  <c r="AG155" i="21" s="1"/>
  <c r="AD187" i="21"/>
  <c r="AE187" i="21" s="1"/>
  <c r="AF187" i="21" s="1"/>
  <c r="AG187" i="21" s="1"/>
  <c r="AH187" i="21" s="1"/>
  <c r="AD159" i="21"/>
  <c r="AE159" i="21" s="1"/>
  <c r="AF159" i="21" s="1"/>
  <c r="AG159" i="21" s="1"/>
  <c r="AH159" i="21" s="1"/>
  <c r="AD165" i="21"/>
  <c r="AE165" i="21" s="1"/>
  <c r="AF165" i="21" s="1"/>
  <c r="AG165" i="21" s="1"/>
  <c r="AH165" i="21" s="1"/>
  <c r="AD180" i="21"/>
  <c r="AE180" i="21" s="1"/>
  <c r="AF180" i="21" s="1"/>
  <c r="AG180" i="21" s="1"/>
  <c r="AD153" i="21"/>
  <c r="AE153" i="21" s="1"/>
  <c r="AF153" i="21" s="1"/>
  <c r="AG153" i="21" s="1"/>
  <c r="AH153" i="21" s="1"/>
  <c r="AD166" i="21"/>
  <c r="AE166" i="21" s="1"/>
  <c r="AF166" i="21" s="1"/>
  <c r="AG166" i="21" s="1"/>
  <c r="AH166" i="21" s="1"/>
  <c r="AD185" i="21"/>
  <c r="AE185" i="21" s="1"/>
  <c r="AF185" i="21" s="1"/>
  <c r="AG185" i="21" s="1"/>
  <c r="AH185" i="21" s="1"/>
  <c r="AD186" i="21"/>
  <c r="AE186" i="21" s="1"/>
  <c r="AF186" i="21" s="1"/>
  <c r="AG186" i="21" s="1"/>
  <c r="AF198" i="21"/>
  <c r="AG198" i="21" s="1"/>
  <c r="AH198" i="21" s="1"/>
  <c r="M222" i="1"/>
  <c r="AA80" i="1"/>
  <c r="M232" i="21"/>
  <c r="M266" i="21"/>
  <c r="M250" i="21"/>
  <c r="M250" i="23"/>
  <c r="M266" i="23"/>
  <c r="M232" i="23"/>
  <c r="N243" i="23" l="1"/>
  <c r="F245" i="23"/>
  <c r="AC96" i="23"/>
  <c r="G245" i="23"/>
  <c r="N77" i="23"/>
  <c r="AH148" i="23"/>
  <c r="O86" i="23"/>
  <c r="M267" i="23"/>
  <c r="O87" i="23" s="1"/>
  <c r="N266" i="23"/>
  <c r="N267" i="23"/>
  <c r="G266" i="23"/>
  <c r="M84" i="23"/>
  <c r="M86" i="23"/>
  <c r="N232" i="23"/>
  <c r="G232" i="23"/>
  <c r="N233" i="23"/>
  <c r="M233" i="23"/>
  <c r="M87" i="23" s="1"/>
  <c r="N86" i="23"/>
  <c r="N251" i="23"/>
  <c r="AH202" i="23"/>
  <c r="M246" i="22"/>
  <c r="N80" i="22"/>
  <c r="N243" i="21"/>
  <c r="N77" i="21"/>
  <c r="AH186" i="21"/>
  <c r="AH152" i="21"/>
  <c r="AH155" i="21"/>
  <c r="AF121" i="21"/>
  <c r="AG121" i="21" s="1"/>
  <c r="AH121" i="21" s="1"/>
  <c r="AF202" i="21"/>
  <c r="AH140" i="21"/>
  <c r="AH134" i="21"/>
  <c r="M84" i="21"/>
  <c r="M233" i="21"/>
  <c r="M87" i="21" s="1"/>
  <c r="G232" i="21"/>
  <c r="N232" i="21"/>
  <c r="M86" i="21"/>
  <c r="N233" i="21"/>
  <c r="N267" i="21"/>
  <c r="M267" i="21"/>
  <c r="O87" i="21" s="1"/>
  <c r="G266" i="21"/>
  <c r="O86" i="21"/>
  <c r="N266" i="21"/>
  <c r="N86" i="21"/>
  <c r="N251" i="21"/>
  <c r="AH180" i="21"/>
  <c r="AH177" i="21"/>
  <c r="AC96" i="21"/>
  <c r="G245" i="21"/>
  <c r="M245" i="21" s="1"/>
  <c r="N79" i="21"/>
  <c r="M239" i="1"/>
  <c r="Z80" i="1"/>
  <c r="M245" i="23" l="1"/>
  <c r="M246" i="23" s="1"/>
  <c r="G250" i="23" s="1"/>
  <c r="M247" i="22"/>
  <c r="M249" i="22" s="1"/>
  <c r="N81" i="22"/>
  <c r="N250" i="22"/>
  <c r="G250" i="22"/>
  <c r="N80" i="21"/>
  <c r="M246" i="21"/>
  <c r="M247" i="21" s="1"/>
  <c r="U94" i="1"/>
  <c r="G225" i="1"/>
  <c r="U93" i="1"/>
  <c r="U171" i="1" s="1"/>
  <c r="N155" i="1"/>
  <c r="P44" i="1" s="1"/>
  <c r="N80" i="23" l="1"/>
  <c r="N81" i="23"/>
  <c r="N250" i="23"/>
  <c r="M247" i="23"/>
  <c r="M251" i="23" s="1"/>
  <c r="N87" i="23" s="1"/>
  <c r="M251" i="22"/>
  <c r="N87" i="22" s="1"/>
  <c r="N83" i="22"/>
  <c r="N82" i="22"/>
  <c r="N85" i="22"/>
  <c r="G249" i="22"/>
  <c r="N249" i="22"/>
  <c r="G250" i="21"/>
  <c r="N250" i="21"/>
  <c r="N81" i="21"/>
  <c r="M251" i="21"/>
  <c r="N87" i="21" s="1"/>
  <c r="M249" i="21"/>
  <c r="N85" i="21" s="1"/>
  <c r="N82" i="21"/>
  <c r="N83" i="21"/>
  <c r="M168" i="1"/>
  <c r="E168" i="1" s="1"/>
  <c r="U139" i="1"/>
  <c r="V139" i="1" s="1"/>
  <c r="V171" i="1"/>
  <c r="W171" i="1" s="1"/>
  <c r="U131" i="1"/>
  <c r="U101" i="1"/>
  <c r="U161" i="1"/>
  <c r="U149" i="1"/>
  <c r="U124" i="1"/>
  <c r="U186" i="1"/>
  <c r="U188" i="1"/>
  <c r="U133" i="1"/>
  <c r="V40" i="1"/>
  <c r="AA44" i="1"/>
  <c r="W44" i="1"/>
  <c r="AA40" i="1"/>
  <c r="W40" i="1"/>
  <c r="V44" i="1"/>
  <c r="P151" i="1"/>
  <c r="U170" i="1"/>
  <c r="U127" i="1"/>
  <c r="U123" i="1"/>
  <c r="U140" i="1"/>
  <c r="U104" i="1"/>
  <c r="U100" i="1"/>
  <c r="W100" i="1" s="1"/>
  <c r="U128" i="1"/>
  <c r="U116" i="1"/>
  <c r="U169" i="1"/>
  <c r="U187" i="1"/>
  <c r="U147" i="1"/>
  <c r="U194" i="1"/>
  <c r="U109" i="1"/>
  <c r="U135" i="1"/>
  <c r="U118" i="1"/>
  <c r="U182" i="1"/>
  <c r="U160" i="1"/>
  <c r="U141" i="1"/>
  <c r="U165" i="1"/>
  <c r="U163" i="1"/>
  <c r="U172" i="1"/>
  <c r="U115" i="1"/>
  <c r="U121" i="1"/>
  <c r="U114" i="1"/>
  <c r="U151" i="1"/>
  <c r="U110" i="1"/>
  <c r="U150" i="1"/>
  <c r="U190" i="1"/>
  <c r="U162" i="1"/>
  <c r="U142" i="1"/>
  <c r="U193" i="1"/>
  <c r="U166" i="1"/>
  <c r="U155" i="1"/>
  <c r="U146" i="1"/>
  <c r="U105" i="1"/>
  <c r="U111" i="1"/>
  <c r="U191" i="1"/>
  <c r="U120" i="1"/>
  <c r="U143" i="1"/>
  <c r="U125" i="1"/>
  <c r="U129" i="1"/>
  <c r="U117" i="1"/>
  <c r="U197" i="1"/>
  <c r="U108" i="1"/>
  <c r="U157" i="1"/>
  <c r="U158" i="1"/>
  <c r="U145" i="1"/>
  <c r="U174" i="1"/>
  <c r="U106" i="1"/>
  <c r="U175" i="1"/>
  <c r="U177" i="1"/>
  <c r="U176" i="1"/>
  <c r="U185" i="1"/>
  <c r="U167" i="1"/>
  <c r="U200" i="1"/>
  <c r="U199" i="1"/>
  <c r="U184" i="1"/>
  <c r="U178" i="1"/>
  <c r="U201" i="1"/>
  <c r="U196" i="1"/>
  <c r="U126" i="1"/>
  <c r="U103" i="1"/>
  <c r="U144" i="1"/>
  <c r="U192" i="1"/>
  <c r="U179" i="1"/>
  <c r="U189" i="1"/>
  <c r="U122" i="1"/>
  <c r="U112" i="1"/>
  <c r="U181" i="1"/>
  <c r="U159" i="1"/>
  <c r="U138" i="1"/>
  <c r="U136" i="1"/>
  <c r="U130" i="1"/>
  <c r="U107" i="1"/>
  <c r="U113" i="1"/>
  <c r="U168" i="1"/>
  <c r="U137" i="1"/>
  <c r="U102" i="1"/>
  <c r="U198" i="1"/>
  <c r="U153" i="1"/>
  <c r="U148" i="1"/>
  <c r="U156" i="1"/>
  <c r="U164" i="1"/>
  <c r="U134" i="1"/>
  <c r="U202" i="1"/>
  <c r="W202" i="1" s="1"/>
  <c r="U183" i="1"/>
  <c r="U152" i="1"/>
  <c r="U195" i="1"/>
  <c r="U180" i="1"/>
  <c r="U119" i="1"/>
  <c r="U173" i="1"/>
  <c r="U132" i="1"/>
  <c r="U154" i="1"/>
  <c r="M249" i="23" l="1"/>
  <c r="N249" i="23" s="1"/>
  <c r="N83" i="23"/>
  <c r="N82" i="23"/>
  <c r="G249" i="21"/>
  <c r="N249" i="21"/>
  <c r="W139" i="1"/>
  <c r="V154" i="1"/>
  <c r="W154" i="1" s="1"/>
  <c r="V137" i="1"/>
  <c r="W137" i="1" s="1"/>
  <c r="V181" i="1"/>
  <c r="W181" i="1" s="1"/>
  <c r="V179" i="1"/>
  <c r="W179" i="1" s="1"/>
  <c r="V184" i="1"/>
  <c r="W184" i="1" s="1"/>
  <c r="V185" i="1"/>
  <c r="W185" i="1" s="1"/>
  <c r="V157" i="1"/>
  <c r="W157" i="1" s="1"/>
  <c r="V129" i="1"/>
  <c r="W129" i="1" s="1"/>
  <c r="V155" i="1"/>
  <c r="W155" i="1" s="1"/>
  <c r="V162" i="1"/>
  <c r="W162" i="1" s="1"/>
  <c r="V172" i="1"/>
  <c r="W172" i="1" s="1"/>
  <c r="V160" i="1"/>
  <c r="W160" i="1" s="1"/>
  <c r="V169" i="1"/>
  <c r="W169" i="1" s="1"/>
  <c r="V170" i="1"/>
  <c r="W170" i="1" s="1"/>
  <c r="V131" i="1"/>
  <c r="W131" i="1" s="1"/>
  <c r="V195" i="1"/>
  <c r="W195" i="1" s="1"/>
  <c r="V134" i="1"/>
  <c r="W134" i="1" s="1"/>
  <c r="V168" i="1"/>
  <c r="W168" i="1" s="1"/>
  <c r="V136" i="1"/>
  <c r="W136" i="1" s="1"/>
  <c r="V192" i="1"/>
  <c r="W192" i="1" s="1"/>
  <c r="V196" i="1"/>
  <c r="W196" i="1" s="1"/>
  <c r="V176" i="1"/>
  <c r="W176" i="1" s="1"/>
  <c r="V174" i="1"/>
  <c r="W174" i="1" s="1"/>
  <c r="V125" i="1"/>
  <c r="W125" i="1" s="1"/>
  <c r="V111" i="1"/>
  <c r="W111" i="1" s="1"/>
  <c r="V190" i="1"/>
  <c r="W190" i="1" s="1"/>
  <c r="V163" i="1"/>
  <c r="W163" i="1" s="1"/>
  <c r="V133" i="1"/>
  <c r="W133" i="1" s="1"/>
  <c r="V173" i="1"/>
  <c r="W173" i="1" s="1"/>
  <c r="V152" i="1"/>
  <c r="W152" i="1" s="1"/>
  <c r="V164" i="1"/>
  <c r="W164" i="1" s="1"/>
  <c r="V198" i="1"/>
  <c r="W198" i="1" s="1"/>
  <c r="V113" i="1"/>
  <c r="W113" i="1" s="1"/>
  <c r="V138" i="1"/>
  <c r="W138" i="1" s="1"/>
  <c r="V122" i="1"/>
  <c r="W122" i="1" s="1"/>
  <c r="V144" i="1"/>
  <c r="W144" i="1" s="1"/>
  <c r="V201" i="1"/>
  <c r="W201" i="1" s="1"/>
  <c r="V200" i="1"/>
  <c r="W200" i="1" s="1"/>
  <c r="V177" i="1"/>
  <c r="W177" i="1" s="1"/>
  <c r="V145" i="1"/>
  <c r="W145" i="1" s="1"/>
  <c r="V197" i="1"/>
  <c r="W197" i="1" s="1"/>
  <c r="V143" i="1"/>
  <c r="W143" i="1" s="1"/>
  <c r="V105" i="1"/>
  <c r="W105" i="1" s="1"/>
  <c r="V193" i="1"/>
  <c r="W193" i="1" s="1"/>
  <c r="V150" i="1"/>
  <c r="W150" i="1" s="1"/>
  <c r="V121" i="1"/>
  <c r="W121" i="1" s="1"/>
  <c r="V165" i="1"/>
  <c r="W165" i="1" s="1"/>
  <c r="V118" i="1"/>
  <c r="W118" i="1" s="1"/>
  <c r="V147" i="1"/>
  <c r="W147" i="1" s="1"/>
  <c r="V128" i="1"/>
  <c r="W128" i="1" s="1"/>
  <c r="V123" i="1"/>
  <c r="W123" i="1" s="1"/>
  <c r="V188" i="1"/>
  <c r="W188" i="1" s="1"/>
  <c r="V161" i="1"/>
  <c r="W161" i="1" s="1"/>
  <c r="V180" i="1"/>
  <c r="W180" i="1" s="1"/>
  <c r="V148" i="1"/>
  <c r="W148" i="1" s="1"/>
  <c r="V130" i="1"/>
  <c r="W130" i="1" s="1"/>
  <c r="V126" i="1"/>
  <c r="W126" i="1" s="1"/>
  <c r="V106" i="1"/>
  <c r="W106" i="1" s="1"/>
  <c r="V191" i="1"/>
  <c r="W191" i="1" s="1"/>
  <c r="V151" i="1"/>
  <c r="W151" i="1" s="1"/>
  <c r="V109" i="1"/>
  <c r="W109" i="1" s="1"/>
  <c r="V104" i="1"/>
  <c r="W104" i="1" s="1"/>
  <c r="V124" i="1"/>
  <c r="W124" i="1" s="1"/>
  <c r="V132" i="1"/>
  <c r="W132" i="1" s="1"/>
  <c r="V153" i="1"/>
  <c r="W153" i="1" s="1"/>
  <c r="V112" i="1"/>
  <c r="W112" i="1" s="1"/>
  <c r="V199" i="1"/>
  <c r="W199" i="1" s="1"/>
  <c r="V108" i="1"/>
  <c r="W108" i="1" s="1"/>
  <c r="V166" i="1"/>
  <c r="W166" i="1" s="1"/>
  <c r="V114" i="1"/>
  <c r="W114" i="1" s="1"/>
  <c r="V182" i="1"/>
  <c r="W182" i="1" s="1"/>
  <c r="V194" i="1"/>
  <c r="W194" i="1" s="1"/>
  <c r="V116" i="1"/>
  <c r="W116" i="1" s="1"/>
  <c r="V140" i="1"/>
  <c r="W140" i="1" s="1"/>
  <c r="V149" i="1"/>
  <c r="W149" i="1" s="1"/>
  <c r="V119" i="1"/>
  <c r="W119" i="1" s="1"/>
  <c r="V183" i="1"/>
  <c r="W183" i="1" s="1"/>
  <c r="V156" i="1"/>
  <c r="W156" i="1" s="1"/>
  <c r="V102" i="1"/>
  <c r="W102" i="1" s="1"/>
  <c r="V107" i="1"/>
  <c r="W107" i="1" s="1"/>
  <c r="V159" i="1"/>
  <c r="W159" i="1" s="1"/>
  <c r="V189" i="1"/>
  <c r="W189" i="1" s="1"/>
  <c r="V103" i="1"/>
  <c r="W103" i="1" s="1"/>
  <c r="V178" i="1"/>
  <c r="W178" i="1" s="1"/>
  <c r="V167" i="1"/>
  <c r="W167" i="1" s="1"/>
  <c r="V175" i="1"/>
  <c r="W175" i="1" s="1"/>
  <c r="V158" i="1"/>
  <c r="W158" i="1" s="1"/>
  <c r="V117" i="1"/>
  <c r="W117" i="1" s="1"/>
  <c r="V120" i="1"/>
  <c r="W120" i="1" s="1"/>
  <c r="V146" i="1"/>
  <c r="W146" i="1" s="1"/>
  <c r="V142" i="1"/>
  <c r="W142" i="1" s="1"/>
  <c r="V110" i="1"/>
  <c r="W110" i="1" s="1"/>
  <c r="V115" i="1"/>
  <c r="W115" i="1" s="1"/>
  <c r="V141" i="1"/>
  <c r="W141" i="1" s="1"/>
  <c r="V135" i="1"/>
  <c r="W135" i="1" s="1"/>
  <c r="V187" i="1"/>
  <c r="W187" i="1" s="1"/>
  <c r="V127" i="1"/>
  <c r="W127" i="1" s="1"/>
  <c r="V186" i="1"/>
  <c r="W186" i="1" s="1"/>
  <c r="V101" i="1"/>
  <c r="W101" i="1" s="1"/>
  <c r="G259" i="1"/>
  <c r="Y94" i="1"/>
  <c r="M236" i="1"/>
  <c r="N85" i="23" l="1"/>
  <c r="G249" i="23"/>
  <c r="O169" i="1"/>
  <c r="G169" i="1" s="1"/>
  <c r="N164" i="1"/>
  <c r="N169" i="1" s="1"/>
  <c r="M209" i="1" s="1"/>
  <c r="Y93" i="1" l="1"/>
  <c r="Y135" i="1" s="1"/>
  <c r="Z135" i="1" s="1"/>
  <c r="N156" i="1"/>
  <c r="N163" i="1"/>
  <c r="N168" i="1" s="1"/>
  <c r="M205" i="1" s="1"/>
  <c r="P45" i="1" l="1"/>
  <c r="AA42" i="1"/>
  <c r="V42" i="1"/>
  <c r="W42" i="1"/>
  <c r="Y130" i="1"/>
  <c r="Y157" i="1"/>
  <c r="Y173" i="1"/>
  <c r="Y139" i="1"/>
  <c r="Y169" i="1"/>
  <c r="Y163" i="1"/>
  <c r="Y196" i="1"/>
  <c r="Y128" i="1"/>
  <c r="Y194" i="1"/>
  <c r="Y195" i="1"/>
  <c r="Y140" i="1"/>
  <c r="Y107" i="1"/>
  <c r="Y111" i="1"/>
  <c r="Y129" i="1"/>
  <c r="Y127" i="1"/>
  <c r="Y115" i="1"/>
  <c r="Y145" i="1"/>
  <c r="Y176" i="1"/>
  <c r="Y198" i="1"/>
  <c r="Y103" i="1"/>
  <c r="Y120" i="1"/>
  <c r="Y153" i="1"/>
  <c r="Y137" i="1"/>
  <c r="Y143" i="1"/>
  <c r="Y197" i="1"/>
  <c r="Y122" i="1"/>
  <c r="Y131" i="1"/>
  <c r="Y134" i="1"/>
  <c r="Y121" i="1"/>
  <c r="Y181" i="1"/>
  <c r="Y189" i="1"/>
  <c r="Y109" i="1"/>
  <c r="Y185" i="1"/>
  <c r="Y172" i="1"/>
  <c r="Y159" i="1"/>
  <c r="Y175" i="1"/>
  <c r="Y201" i="1"/>
  <c r="Y112" i="1"/>
  <c r="Y162" i="1"/>
  <c r="Y123" i="1"/>
  <c r="Y144" i="1"/>
  <c r="Y147" i="1"/>
  <c r="Y177" i="1"/>
  <c r="Y151" i="1"/>
  <c r="Y190" i="1"/>
  <c r="Y199" i="1"/>
  <c r="Y146" i="1"/>
  <c r="Y179" i="1"/>
  <c r="Y141" i="1"/>
  <c r="Y188" i="1"/>
  <c r="Y155" i="1"/>
  <c r="Y105" i="1"/>
  <c r="Y200" i="1"/>
  <c r="Y180" i="1"/>
  <c r="Y119" i="1"/>
  <c r="Y110" i="1"/>
  <c r="Y191" i="1"/>
  <c r="Y161" i="1"/>
  <c r="Y148" i="1"/>
  <c r="Y156" i="1"/>
  <c r="Y167" i="1"/>
  <c r="Y138" i="1"/>
  <c r="Y178" i="1"/>
  <c r="Y101" i="1"/>
  <c r="Y193" i="1"/>
  <c r="Y184" i="1"/>
  <c r="Y154" i="1"/>
  <c r="Y202" i="1"/>
  <c r="AA202" i="1" s="1"/>
  <c r="Y117" i="1"/>
  <c r="Y158" i="1"/>
  <c r="Y108" i="1"/>
  <c r="Y192" i="1"/>
  <c r="Y171" i="1"/>
  <c r="Y165" i="1"/>
  <c r="Y160" i="1"/>
  <c r="Y152" i="1"/>
  <c r="Y166" i="1"/>
  <c r="Y142" i="1"/>
  <c r="Y149" i="1"/>
  <c r="Y118" i="1"/>
  <c r="Y182" i="1"/>
  <c r="Y113" i="1"/>
  <c r="Y114" i="1"/>
  <c r="Y126" i="1"/>
  <c r="Y174" i="1"/>
  <c r="Y132" i="1"/>
  <c r="Y116" i="1"/>
  <c r="Y125" i="1"/>
  <c r="Y186" i="1"/>
  <c r="Y136" i="1"/>
  <c r="Y106" i="1"/>
  <c r="Y187" i="1"/>
  <c r="Y164" i="1"/>
  <c r="Y168" i="1"/>
  <c r="Y124" i="1"/>
  <c r="V38" i="1"/>
  <c r="AA38" i="1"/>
  <c r="W38" i="1"/>
  <c r="M206" i="1"/>
  <c r="M210" i="1" s="1"/>
  <c r="AA135" i="1"/>
  <c r="Y183" i="1"/>
  <c r="Y104" i="1"/>
  <c r="Y133" i="1"/>
  <c r="Y170" i="1"/>
  <c r="Y150" i="1"/>
  <c r="Y102" i="1"/>
  <c r="Y100" i="1"/>
  <c r="AA100" i="1" s="1"/>
  <c r="M255" i="1" l="1"/>
  <c r="M254" i="1"/>
  <c r="W64" i="1"/>
  <c r="Z170" i="1"/>
  <c r="AA170" i="1" s="1"/>
  <c r="Z168" i="1"/>
  <c r="AA168" i="1" s="1"/>
  <c r="Z136" i="1"/>
  <c r="AA136" i="1" s="1"/>
  <c r="Z132" i="1"/>
  <c r="AA132" i="1" s="1"/>
  <c r="Z113" i="1"/>
  <c r="AA113" i="1" s="1"/>
  <c r="Z142" i="1"/>
  <c r="AA142" i="1" s="1"/>
  <c r="Z165" i="1"/>
  <c r="AA165" i="1" s="1"/>
  <c r="Z158" i="1"/>
  <c r="AA158" i="1" s="1"/>
  <c r="Z184" i="1"/>
  <c r="AA184" i="1" s="1"/>
  <c r="Z138" i="1"/>
  <c r="AA138" i="1" s="1"/>
  <c r="Z161" i="1"/>
  <c r="AA161" i="1" s="1"/>
  <c r="Z180" i="1"/>
  <c r="AA180" i="1" s="1"/>
  <c r="Z188" i="1"/>
  <c r="AA188" i="1" s="1"/>
  <c r="Z199" i="1"/>
  <c r="AA199" i="1" s="1"/>
  <c r="Z147" i="1"/>
  <c r="AA147" i="1" s="1"/>
  <c r="Z112" i="1"/>
  <c r="AA112" i="1" s="1"/>
  <c r="Z172" i="1"/>
  <c r="AA172" i="1" s="1"/>
  <c r="Z181" i="1"/>
  <c r="AA181" i="1" s="1"/>
  <c r="Z122" i="1"/>
  <c r="AA122" i="1" s="1"/>
  <c r="Z153" i="1"/>
  <c r="AA153" i="1" s="1"/>
  <c r="Z176" i="1"/>
  <c r="AA176" i="1" s="1"/>
  <c r="Z129" i="1"/>
  <c r="AA129" i="1" s="1"/>
  <c r="Z195" i="1"/>
  <c r="AA195" i="1" s="1"/>
  <c r="Z163" i="1"/>
  <c r="AA163" i="1" s="1"/>
  <c r="Z157" i="1"/>
  <c r="AA157" i="1" s="1"/>
  <c r="Z133" i="1"/>
  <c r="AA133" i="1" s="1"/>
  <c r="M220" i="1"/>
  <c r="M212" i="1"/>
  <c r="X64" i="1"/>
  <c r="W67" i="1"/>
  <c r="M221" i="1"/>
  <c r="V67" i="1"/>
  <c r="Z164" i="1"/>
  <c r="AA164" i="1" s="1"/>
  <c r="Z186" i="1"/>
  <c r="AA186" i="1" s="1"/>
  <c r="Z174" i="1"/>
  <c r="AA174" i="1" s="1"/>
  <c r="Z182" i="1"/>
  <c r="AA182" i="1" s="1"/>
  <c r="Z166" i="1"/>
  <c r="AA166" i="1" s="1"/>
  <c r="Z171" i="1"/>
  <c r="AA171" i="1" s="1"/>
  <c r="Z117" i="1"/>
  <c r="AA117" i="1" s="1"/>
  <c r="Z193" i="1"/>
  <c r="AA193" i="1" s="1"/>
  <c r="Z167" i="1"/>
  <c r="AA167" i="1" s="1"/>
  <c r="Z191" i="1"/>
  <c r="AA191" i="1" s="1"/>
  <c r="Z200" i="1"/>
  <c r="AA200" i="1" s="1"/>
  <c r="Z141" i="1"/>
  <c r="AA141" i="1" s="1"/>
  <c r="Z190" i="1"/>
  <c r="AA190" i="1" s="1"/>
  <c r="Z144" i="1"/>
  <c r="AA144" i="1" s="1"/>
  <c r="Z201" i="1"/>
  <c r="AA201" i="1" s="1"/>
  <c r="Z185" i="1"/>
  <c r="AA185" i="1" s="1"/>
  <c r="Z121" i="1"/>
  <c r="AA121" i="1" s="1"/>
  <c r="Z197" i="1"/>
  <c r="AA197" i="1" s="1"/>
  <c r="Z120" i="1"/>
  <c r="AA120" i="1" s="1"/>
  <c r="Z145" i="1"/>
  <c r="AA145" i="1" s="1"/>
  <c r="Z111" i="1"/>
  <c r="AA111" i="1" s="1"/>
  <c r="Z194" i="1"/>
  <c r="AA194" i="1" s="1"/>
  <c r="Z169" i="1"/>
  <c r="AA169" i="1" s="1"/>
  <c r="Z130" i="1"/>
  <c r="AA130" i="1" s="1"/>
  <c r="Z102" i="1"/>
  <c r="AA102" i="1" s="1"/>
  <c r="Z104" i="1"/>
  <c r="AA104" i="1" s="1"/>
  <c r="V47" i="1"/>
  <c r="AE46" i="1"/>
  <c r="W47" i="1"/>
  <c r="AF46" i="1"/>
  <c r="V46" i="1"/>
  <c r="AF47" i="1"/>
  <c r="W46" i="1"/>
  <c r="AE47" i="1"/>
  <c r="Z187" i="1"/>
  <c r="AA187" i="1" s="1"/>
  <c r="Z125" i="1"/>
  <c r="AA125" i="1" s="1"/>
  <c r="Z126" i="1"/>
  <c r="AA126" i="1" s="1"/>
  <c r="Z118" i="1"/>
  <c r="AA118" i="1" s="1"/>
  <c r="Z152" i="1"/>
  <c r="AA152" i="1" s="1"/>
  <c r="Z192" i="1"/>
  <c r="AA192" i="1" s="1"/>
  <c r="Z101" i="1"/>
  <c r="AA101" i="1" s="1"/>
  <c r="Z156" i="1"/>
  <c r="AA156" i="1" s="1"/>
  <c r="Z110" i="1"/>
  <c r="AA110" i="1" s="1"/>
  <c r="Z105" i="1"/>
  <c r="AA105" i="1" s="1"/>
  <c r="Z179" i="1"/>
  <c r="AA179" i="1" s="1"/>
  <c r="Z151" i="1"/>
  <c r="AA151" i="1" s="1"/>
  <c r="Z123" i="1"/>
  <c r="AA123" i="1" s="1"/>
  <c r="Z175" i="1"/>
  <c r="AA175" i="1" s="1"/>
  <c r="Z109" i="1"/>
  <c r="AA109" i="1" s="1"/>
  <c r="Z134" i="1"/>
  <c r="AA134" i="1" s="1"/>
  <c r="Z143" i="1"/>
  <c r="AA143" i="1" s="1"/>
  <c r="Z103" i="1"/>
  <c r="AA103" i="1" s="1"/>
  <c r="Z115" i="1"/>
  <c r="AA115" i="1" s="1"/>
  <c r="Z107" i="1"/>
  <c r="AA107" i="1" s="1"/>
  <c r="Z128" i="1"/>
  <c r="AA128" i="1" s="1"/>
  <c r="Z139" i="1"/>
  <c r="AA139" i="1" s="1"/>
  <c r="Z150" i="1"/>
  <c r="AA150" i="1" s="1"/>
  <c r="Z183" i="1"/>
  <c r="AA183" i="1" s="1"/>
  <c r="Z124" i="1"/>
  <c r="AA124" i="1" s="1"/>
  <c r="Z106" i="1"/>
  <c r="AA106" i="1" s="1"/>
  <c r="Z116" i="1"/>
  <c r="AA116" i="1" s="1"/>
  <c r="Z114" i="1"/>
  <c r="AA114" i="1" s="1"/>
  <c r="Z149" i="1"/>
  <c r="AA149" i="1" s="1"/>
  <c r="Z160" i="1"/>
  <c r="AA160" i="1" s="1"/>
  <c r="Z108" i="1"/>
  <c r="AA108" i="1" s="1"/>
  <c r="Z154" i="1"/>
  <c r="AA154" i="1" s="1"/>
  <c r="Z178" i="1"/>
  <c r="AA178" i="1" s="1"/>
  <c r="Z148" i="1"/>
  <c r="AA148" i="1" s="1"/>
  <c r="Z119" i="1"/>
  <c r="AA119" i="1" s="1"/>
  <c r="Z155" i="1"/>
  <c r="AA155" i="1" s="1"/>
  <c r="Z146" i="1"/>
  <c r="AA146" i="1" s="1"/>
  <c r="Z177" i="1"/>
  <c r="AA177" i="1" s="1"/>
  <c r="Z162" i="1"/>
  <c r="AA162" i="1" s="1"/>
  <c r="Z159" i="1"/>
  <c r="AA159" i="1" s="1"/>
  <c r="Z189" i="1"/>
  <c r="AA189" i="1" s="1"/>
  <c r="Z131" i="1"/>
  <c r="AA131" i="1" s="1"/>
  <c r="Z137" i="1"/>
  <c r="AA137" i="1" s="1"/>
  <c r="Z198" i="1"/>
  <c r="AA198" i="1" s="1"/>
  <c r="Z127" i="1"/>
  <c r="AA127" i="1" s="1"/>
  <c r="Z140" i="1"/>
  <c r="AA140" i="1" s="1"/>
  <c r="Z196" i="1"/>
  <c r="AA196" i="1" s="1"/>
  <c r="Z173" i="1"/>
  <c r="AA173" i="1" s="1"/>
  <c r="F259" i="1" l="1"/>
  <c r="M259" i="1" s="1"/>
  <c r="M238" i="1"/>
  <c r="F225" i="1"/>
  <c r="M225" i="1" s="1"/>
  <c r="M260" i="1" l="1"/>
  <c r="O77" i="1"/>
  <c r="M226" i="1"/>
  <c r="G150" i="1" s="1"/>
  <c r="M77" i="1"/>
  <c r="Y96" i="1"/>
  <c r="O79" i="1"/>
  <c r="M261" i="1"/>
  <c r="N259" i="1"/>
  <c r="U96" i="1"/>
  <c r="M79" i="1"/>
  <c r="M227" i="1"/>
  <c r="N225" i="1"/>
  <c r="M237" i="1" l="1"/>
  <c r="M262" i="1"/>
  <c r="O80" i="1"/>
  <c r="M228" i="1"/>
  <c r="M80" i="1"/>
  <c r="F151" i="1"/>
  <c r="H151" i="1"/>
  <c r="G151" i="1"/>
  <c r="E151" i="1"/>
  <c r="N151" i="1" l="1"/>
  <c r="N152" i="1" s="1"/>
  <c r="M263" i="1"/>
  <c r="M265" i="1" s="1"/>
  <c r="O81" i="1"/>
  <c r="M229" i="1"/>
  <c r="M231" i="1" s="1"/>
  <c r="M81" i="1"/>
  <c r="G231" i="1" l="1"/>
  <c r="N231" i="1"/>
  <c r="N265" i="1"/>
  <c r="G265" i="1"/>
  <c r="N154" i="1"/>
  <c r="O82" i="1"/>
  <c r="O83" i="1"/>
  <c r="M83" i="1"/>
  <c r="M82" i="1"/>
  <c r="M244" i="1" l="1"/>
  <c r="M240" i="1" s="1"/>
  <c r="M241" i="1" s="1"/>
  <c r="N170" i="1"/>
  <c r="O85" i="1"/>
  <c r="M85" i="1"/>
  <c r="M242" i="1" l="1"/>
  <c r="M243" i="1" s="1"/>
  <c r="N77" i="1" s="1"/>
  <c r="M230" i="1"/>
  <c r="M248" i="1"/>
  <c r="M264" i="1"/>
  <c r="AD100" i="1"/>
  <c r="AE100" i="1" s="1"/>
  <c r="AF100" i="1" s="1"/>
  <c r="AG100" i="1" s="1"/>
  <c r="AD119" i="1"/>
  <c r="AE119" i="1" s="1"/>
  <c r="AF119" i="1" s="1"/>
  <c r="AG119" i="1" s="1"/>
  <c r="AH119" i="1" s="1"/>
  <c r="AD197" i="1"/>
  <c r="AE197" i="1" s="1"/>
  <c r="AF197" i="1" s="1"/>
  <c r="AG197" i="1" s="1"/>
  <c r="AH197" i="1" s="1"/>
  <c r="AD101" i="1"/>
  <c r="AE101" i="1" s="1"/>
  <c r="AF101" i="1" s="1"/>
  <c r="AG101" i="1" s="1"/>
  <c r="AH101" i="1" s="1"/>
  <c r="AD155" i="1"/>
  <c r="AE155" i="1" s="1"/>
  <c r="AF155" i="1" s="1"/>
  <c r="AG155" i="1" s="1"/>
  <c r="AH155" i="1" s="1"/>
  <c r="AD172" i="1"/>
  <c r="AE172" i="1" s="1"/>
  <c r="AF172" i="1" s="1"/>
  <c r="AG172" i="1" s="1"/>
  <c r="AH172" i="1" s="1"/>
  <c r="AD169" i="1"/>
  <c r="AE169" i="1" s="1"/>
  <c r="AF169" i="1" s="1"/>
  <c r="AG169" i="1" s="1"/>
  <c r="AH169" i="1" s="1"/>
  <c r="AD176" i="1"/>
  <c r="AE176" i="1" s="1"/>
  <c r="AF176" i="1" s="1"/>
  <c r="AG176" i="1" s="1"/>
  <c r="AH176" i="1" s="1"/>
  <c r="AD135" i="1"/>
  <c r="AE135" i="1" s="1"/>
  <c r="AF135" i="1" s="1"/>
  <c r="AG135" i="1" s="1"/>
  <c r="AH135" i="1" s="1"/>
  <c r="AD150" i="1"/>
  <c r="AE150" i="1" s="1"/>
  <c r="AF150" i="1" s="1"/>
  <c r="AG150" i="1" s="1"/>
  <c r="AH150" i="1" s="1"/>
  <c r="AD177" i="1"/>
  <c r="AE177" i="1" s="1"/>
  <c r="AF177" i="1" s="1"/>
  <c r="AG177" i="1" s="1"/>
  <c r="AH177" i="1" s="1"/>
  <c r="AD127" i="1"/>
  <c r="AE127" i="1" s="1"/>
  <c r="AF127" i="1" s="1"/>
  <c r="AG127" i="1" s="1"/>
  <c r="AH127" i="1" s="1"/>
  <c r="AD175" i="1"/>
  <c r="AE175" i="1" s="1"/>
  <c r="AF175" i="1" s="1"/>
  <c r="AG175" i="1" s="1"/>
  <c r="AH175" i="1" s="1"/>
  <c r="AD110" i="1"/>
  <c r="AE110" i="1" s="1"/>
  <c r="AF110" i="1" s="1"/>
  <c r="AG110" i="1" s="1"/>
  <c r="AH110" i="1" s="1"/>
  <c r="AD139" i="1"/>
  <c r="AE139" i="1" s="1"/>
  <c r="AF139" i="1" s="1"/>
  <c r="AG139" i="1" s="1"/>
  <c r="AH139" i="1" s="1"/>
  <c r="AD107" i="1"/>
  <c r="AE107" i="1" s="1"/>
  <c r="AF107" i="1" s="1"/>
  <c r="AG107" i="1" s="1"/>
  <c r="AH107" i="1" s="1"/>
  <c r="AD147" i="1"/>
  <c r="AE147" i="1" s="1"/>
  <c r="AF147" i="1" s="1"/>
  <c r="AG147" i="1" s="1"/>
  <c r="AH147" i="1" s="1"/>
  <c r="AD114" i="1"/>
  <c r="AE114" i="1" s="1"/>
  <c r="AF114" i="1" s="1"/>
  <c r="AG114" i="1" s="1"/>
  <c r="AH114" i="1" s="1"/>
  <c r="AD142" i="1"/>
  <c r="AE142" i="1" s="1"/>
  <c r="AF142" i="1" s="1"/>
  <c r="AG142" i="1" s="1"/>
  <c r="AH142" i="1" s="1"/>
  <c r="AD174" i="1"/>
  <c r="AE174" i="1" s="1"/>
  <c r="AF174" i="1" s="1"/>
  <c r="AG174" i="1" s="1"/>
  <c r="AH174" i="1" s="1"/>
  <c r="AD131" i="1"/>
  <c r="AE131" i="1" s="1"/>
  <c r="AF131" i="1" s="1"/>
  <c r="AG131" i="1" s="1"/>
  <c r="AH131" i="1" s="1"/>
  <c r="AD160" i="1"/>
  <c r="AE160" i="1" s="1"/>
  <c r="AF160" i="1" s="1"/>
  <c r="AG160" i="1" s="1"/>
  <c r="AH160" i="1" s="1"/>
  <c r="AD185" i="1"/>
  <c r="AE185" i="1" s="1"/>
  <c r="AF185" i="1" s="1"/>
  <c r="AG185" i="1" s="1"/>
  <c r="AH185" i="1" s="1"/>
  <c r="AD145" i="1"/>
  <c r="AE145" i="1" s="1"/>
  <c r="AF145" i="1" s="1"/>
  <c r="AG145" i="1" s="1"/>
  <c r="AH145" i="1" s="1"/>
  <c r="AD171" i="1"/>
  <c r="AE171" i="1" s="1"/>
  <c r="AF171" i="1" s="1"/>
  <c r="AG171" i="1" s="1"/>
  <c r="AH171" i="1" s="1"/>
  <c r="AD165" i="1"/>
  <c r="AE165" i="1" s="1"/>
  <c r="AF165" i="1" s="1"/>
  <c r="AG165" i="1" s="1"/>
  <c r="AH165" i="1" s="1"/>
  <c r="AD136" i="1"/>
  <c r="AE136" i="1" s="1"/>
  <c r="AF136" i="1" s="1"/>
  <c r="AG136" i="1" s="1"/>
  <c r="AH136" i="1" s="1"/>
  <c r="AD167" i="1"/>
  <c r="AE167" i="1" s="1"/>
  <c r="AF167" i="1" s="1"/>
  <c r="AG167" i="1" s="1"/>
  <c r="AH167" i="1" s="1"/>
  <c r="AD187" i="1"/>
  <c r="AE187" i="1" s="1"/>
  <c r="AF187" i="1" s="1"/>
  <c r="AG187" i="1" s="1"/>
  <c r="AH187" i="1" s="1"/>
  <c r="AD186" i="1"/>
  <c r="AE186" i="1" s="1"/>
  <c r="AF186" i="1" s="1"/>
  <c r="AG186" i="1" s="1"/>
  <c r="AH186" i="1" s="1"/>
  <c r="AD164" i="1"/>
  <c r="AE164" i="1" s="1"/>
  <c r="AF164" i="1" s="1"/>
  <c r="AG164" i="1" s="1"/>
  <c r="AH164" i="1" s="1"/>
  <c r="AD188" i="1"/>
  <c r="AE188" i="1" s="1"/>
  <c r="AF188" i="1" s="1"/>
  <c r="AG188" i="1" s="1"/>
  <c r="AH188" i="1" s="1"/>
  <c r="AD126" i="1"/>
  <c r="AE126" i="1" s="1"/>
  <c r="AF126" i="1" s="1"/>
  <c r="AG126" i="1" s="1"/>
  <c r="AH126" i="1" s="1"/>
  <c r="AD106" i="1"/>
  <c r="AE106" i="1" s="1"/>
  <c r="AF106" i="1" s="1"/>
  <c r="AG106" i="1" s="1"/>
  <c r="AH106" i="1" s="1"/>
  <c r="AD196" i="1"/>
  <c r="AE196" i="1" s="1"/>
  <c r="AF196" i="1" s="1"/>
  <c r="AG196" i="1" s="1"/>
  <c r="AH196" i="1" s="1"/>
  <c r="AD138" i="1"/>
  <c r="AE138" i="1" s="1"/>
  <c r="AF138" i="1" s="1"/>
  <c r="AG138" i="1" s="1"/>
  <c r="AH138" i="1" s="1"/>
  <c r="AD168" i="1"/>
  <c r="AE168" i="1" s="1"/>
  <c r="AF168" i="1" s="1"/>
  <c r="AG168" i="1" s="1"/>
  <c r="AH168" i="1" s="1"/>
  <c r="AD157" i="1"/>
  <c r="AE157" i="1" s="1"/>
  <c r="AF157" i="1" s="1"/>
  <c r="AG157" i="1" s="1"/>
  <c r="AH157" i="1" s="1"/>
  <c r="AD152" i="1"/>
  <c r="AE152" i="1" s="1"/>
  <c r="AF152" i="1" s="1"/>
  <c r="AG152" i="1" s="1"/>
  <c r="AH152" i="1" s="1"/>
  <c r="AD194" i="1"/>
  <c r="AE194" i="1" s="1"/>
  <c r="AF194" i="1" s="1"/>
  <c r="AG194" i="1" s="1"/>
  <c r="AH194" i="1" s="1"/>
  <c r="AD133" i="1"/>
  <c r="AE133" i="1" s="1"/>
  <c r="AF133" i="1" s="1"/>
  <c r="AG133" i="1" s="1"/>
  <c r="AH133" i="1" s="1"/>
  <c r="AD123" i="1"/>
  <c r="AE123" i="1" s="1"/>
  <c r="AF123" i="1" s="1"/>
  <c r="AG123" i="1" s="1"/>
  <c r="AH123" i="1" s="1"/>
  <c r="AD104" i="1"/>
  <c r="AE104" i="1" s="1"/>
  <c r="AF104" i="1" s="1"/>
  <c r="AG104" i="1" s="1"/>
  <c r="AH104" i="1" s="1"/>
  <c r="AD121" i="1"/>
  <c r="AE121" i="1" s="1"/>
  <c r="AF121" i="1" s="1"/>
  <c r="AG121" i="1" s="1"/>
  <c r="AH121" i="1" s="1"/>
  <c r="AD117" i="1"/>
  <c r="AE117" i="1" s="1"/>
  <c r="AF117" i="1" s="1"/>
  <c r="AG117" i="1" s="1"/>
  <c r="AH117" i="1" s="1"/>
  <c r="AD116" i="1"/>
  <c r="AE116" i="1" s="1"/>
  <c r="AF116" i="1" s="1"/>
  <c r="AG116" i="1" s="1"/>
  <c r="AH116" i="1" s="1"/>
  <c r="AD122" i="1"/>
  <c r="AE122" i="1" s="1"/>
  <c r="AF122" i="1" s="1"/>
  <c r="AG122" i="1" s="1"/>
  <c r="AH122" i="1" s="1"/>
  <c r="AD178" i="1"/>
  <c r="AE178" i="1" s="1"/>
  <c r="AF178" i="1" s="1"/>
  <c r="AG178" i="1" s="1"/>
  <c r="AH178" i="1" s="1"/>
  <c r="AD132" i="1"/>
  <c r="AE132" i="1" s="1"/>
  <c r="AF132" i="1" s="1"/>
  <c r="AG132" i="1" s="1"/>
  <c r="AH132" i="1" s="1"/>
  <c r="AD161" i="1"/>
  <c r="AE161" i="1" s="1"/>
  <c r="AF161" i="1" s="1"/>
  <c r="AG161" i="1" s="1"/>
  <c r="AH161" i="1" s="1"/>
  <c r="AD183" i="1"/>
  <c r="AE183" i="1" s="1"/>
  <c r="AF183" i="1" s="1"/>
  <c r="AG183" i="1" s="1"/>
  <c r="AH183" i="1" s="1"/>
  <c r="AD120" i="1"/>
  <c r="AE120" i="1" s="1"/>
  <c r="AF120" i="1" s="1"/>
  <c r="AG120" i="1" s="1"/>
  <c r="AH120" i="1" s="1"/>
  <c r="AD137" i="1"/>
  <c r="AE137" i="1" s="1"/>
  <c r="AF137" i="1" s="1"/>
  <c r="AG137" i="1" s="1"/>
  <c r="AH137" i="1" s="1"/>
  <c r="AD201" i="1"/>
  <c r="AE201" i="1" s="1"/>
  <c r="AF201" i="1" s="1"/>
  <c r="AG201" i="1" s="1"/>
  <c r="AH201" i="1" s="1"/>
  <c r="AD191" i="1"/>
  <c r="AE191" i="1" s="1"/>
  <c r="AF191" i="1" s="1"/>
  <c r="AG191" i="1" s="1"/>
  <c r="AH191" i="1" s="1"/>
  <c r="AD115" i="1"/>
  <c r="AE115" i="1" s="1"/>
  <c r="AF115" i="1" s="1"/>
  <c r="AG115" i="1" s="1"/>
  <c r="AH115" i="1" s="1"/>
  <c r="AD156" i="1"/>
  <c r="AE156" i="1" s="1"/>
  <c r="AF156" i="1" s="1"/>
  <c r="AG156" i="1" s="1"/>
  <c r="AH156" i="1" s="1"/>
  <c r="AD184" i="1"/>
  <c r="AE184" i="1" s="1"/>
  <c r="AF184" i="1" s="1"/>
  <c r="AG184" i="1" s="1"/>
  <c r="AH184" i="1" s="1"/>
  <c r="AD109" i="1"/>
  <c r="AE109" i="1" s="1"/>
  <c r="AF109" i="1" s="1"/>
  <c r="AG109" i="1" s="1"/>
  <c r="AH109" i="1" s="1"/>
  <c r="AD173" i="1"/>
  <c r="AE173" i="1" s="1"/>
  <c r="AF173" i="1" s="1"/>
  <c r="AG173" i="1" s="1"/>
  <c r="AH173" i="1" s="1"/>
  <c r="AD189" i="1"/>
  <c r="AE189" i="1" s="1"/>
  <c r="AF189" i="1" s="1"/>
  <c r="AG189" i="1" s="1"/>
  <c r="AH189" i="1" s="1"/>
  <c r="AD108" i="1"/>
  <c r="AE108" i="1" s="1"/>
  <c r="AF108" i="1" s="1"/>
  <c r="AG108" i="1" s="1"/>
  <c r="AH108" i="1" s="1"/>
  <c r="AD198" i="1"/>
  <c r="AE198" i="1" s="1"/>
  <c r="AF198" i="1" s="1"/>
  <c r="AG198" i="1" s="1"/>
  <c r="AH198" i="1" s="1"/>
  <c r="AD128" i="1"/>
  <c r="AE128" i="1" s="1"/>
  <c r="AF128" i="1" s="1"/>
  <c r="AG128" i="1" s="1"/>
  <c r="AH128" i="1" s="1"/>
  <c r="AD149" i="1"/>
  <c r="AE149" i="1" s="1"/>
  <c r="AF149" i="1" s="1"/>
  <c r="AG149" i="1" s="1"/>
  <c r="AH149" i="1" s="1"/>
  <c r="AD118" i="1"/>
  <c r="AE118" i="1" s="1"/>
  <c r="AF118" i="1" s="1"/>
  <c r="AG118" i="1" s="1"/>
  <c r="AH118" i="1" s="1"/>
  <c r="AD166" i="1"/>
  <c r="AE166" i="1" s="1"/>
  <c r="AF166" i="1" s="1"/>
  <c r="AG166" i="1" s="1"/>
  <c r="AH166" i="1" s="1"/>
  <c r="AD103" i="1"/>
  <c r="AE103" i="1" s="1"/>
  <c r="AF103" i="1" s="1"/>
  <c r="AG103" i="1" s="1"/>
  <c r="AH103" i="1" s="1"/>
  <c r="AD181" i="1"/>
  <c r="AE181" i="1" s="1"/>
  <c r="AF181" i="1" s="1"/>
  <c r="AG181" i="1" s="1"/>
  <c r="AH181" i="1" s="1"/>
  <c r="AD143" i="1"/>
  <c r="AE143" i="1" s="1"/>
  <c r="AF143" i="1" s="1"/>
  <c r="AG143" i="1" s="1"/>
  <c r="AH143" i="1" s="1"/>
  <c r="AD170" i="1"/>
  <c r="AE170" i="1" s="1"/>
  <c r="AF170" i="1" s="1"/>
  <c r="AG170" i="1" s="1"/>
  <c r="AH170" i="1" s="1"/>
  <c r="AD113" i="1"/>
  <c r="AE113" i="1" s="1"/>
  <c r="AF113" i="1" s="1"/>
  <c r="AG113" i="1" s="1"/>
  <c r="AH113" i="1" s="1"/>
  <c r="AD146" i="1"/>
  <c r="AE146" i="1" s="1"/>
  <c r="AF146" i="1" s="1"/>
  <c r="AG146" i="1" s="1"/>
  <c r="AH146" i="1" s="1"/>
  <c r="AD130" i="1"/>
  <c r="AE130" i="1" s="1"/>
  <c r="AF130" i="1" s="1"/>
  <c r="AG130" i="1" s="1"/>
  <c r="AH130" i="1" s="1"/>
  <c r="AD129" i="1"/>
  <c r="AE129" i="1" s="1"/>
  <c r="AF129" i="1" s="1"/>
  <c r="AG129" i="1" s="1"/>
  <c r="AH129" i="1" s="1"/>
  <c r="N242" i="1"/>
  <c r="AD199" i="1"/>
  <c r="AE199" i="1" s="1"/>
  <c r="AF199" i="1" s="1"/>
  <c r="AG199" i="1" s="1"/>
  <c r="AH199" i="1" s="1"/>
  <c r="AD140" i="1"/>
  <c r="AE140" i="1" s="1"/>
  <c r="AF140" i="1" s="1"/>
  <c r="AG140" i="1" s="1"/>
  <c r="AH140" i="1" s="1"/>
  <c r="AD182" i="1"/>
  <c r="AE182" i="1" s="1"/>
  <c r="AF182" i="1" s="1"/>
  <c r="AG182" i="1" s="1"/>
  <c r="AH182" i="1" s="1"/>
  <c r="AD111" i="1"/>
  <c r="AE111" i="1" s="1"/>
  <c r="AF111" i="1" s="1"/>
  <c r="AG111" i="1" s="1"/>
  <c r="AH111" i="1" s="1"/>
  <c r="AD192" i="1"/>
  <c r="AE192" i="1" s="1"/>
  <c r="AF192" i="1" s="1"/>
  <c r="AG192" i="1" s="1"/>
  <c r="AH192" i="1" s="1"/>
  <c r="AD190" i="1"/>
  <c r="AE190" i="1" s="1"/>
  <c r="AF190" i="1" s="1"/>
  <c r="AG190" i="1" s="1"/>
  <c r="AH190" i="1" s="1"/>
  <c r="AD200" i="1"/>
  <c r="AE200" i="1" s="1"/>
  <c r="AF200" i="1" s="1"/>
  <c r="AG200" i="1" s="1"/>
  <c r="AH200" i="1" s="1"/>
  <c r="AD151" i="1"/>
  <c r="AE151" i="1" s="1"/>
  <c r="AF151" i="1" s="1"/>
  <c r="AG151" i="1" s="1"/>
  <c r="AH151" i="1" s="1"/>
  <c r="AD158" i="1"/>
  <c r="AE158" i="1" s="1"/>
  <c r="AF158" i="1" s="1"/>
  <c r="AG158" i="1" s="1"/>
  <c r="AH158" i="1" s="1"/>
  <c r="AD148" i="1"/>
  <c r="AE148" i="1" s="1"/>
  <c r="AF148" i="1" s="1"/>
  <c r="AG148" i="1" s="1"/>
  <c r="AH148" i="1" s="1"/>
  <c r="AD193" i="1"/>
  <c r="AE193" i="1" s="1"/>
  <c r="AF193" i="1" s="1"/>
  <c r="AG193" i="1" s="1"/>
  <c r="AH193" i="1" s="1"/>
  <c r="AD154" i="1"/>
  <c r="AE154" i="1" s="1"/>
  <c r="AF154" i="1" s="1"/>
  <c r="AG154" i="1" s="1"/>
  <c r="AH154" i="1" s="1"/>
  <c r="AD141" i="1"/>
  <c r="AE141" i="1" s="1"/>
  <c r="AF141" i="1" s="1"/>
  <c r="AG141" i="1" s="1"/>
  <c r="AH141" i="1" s="1"/>
  <c r="AD202" i="1"/>
  <c r="AE202" i="1" s="1"/>
  <c r="AH202" i="1" s="1"/>
  <c r="AD163" i="1"/>
  <c r="AE163" i="1" s="1"/>
  <c r="AF163" i="1" s="1"/>
  <c r="AG163" i="1" s="1"/>
  <c r="AH163" i="1" s="1"/>
  <c r="AD124" i="1"/>
  <c r="AE124" i="1" s="1"/>
  <c r="AF124" i="1" s="1"/>
  <c r="AG124" i="1" s="1"/>
  <c r="AH124" i="1" s="1"/>
  <c r="AD159" i="1"/>
  <c r="AE159" i="1" s="1"/>
  <c r="AF159" i="1" s="1"/>
  <c r="AG159" i="1" s="1"/>
  <c r="AH159" i="1" s="1"/>
  <c r="AD134" i="1"/>
  <c r="AE134" i="1" s="1"/>
  <c r="AF134" i="1" s="1"/>
  <c r="AG134" i="1" s="1"/>
  <c r="AH134" i="1" s="1"/>
  <c r="AD125" i="1"/>
  <c r="AE125" i="1" s="1"/>
  <c r="AF125" i="1" s="1"/>
  <c r="AG125" i="1" s="1"/>
  <c r="AH125" i="1" s="1"/>
  <c r="AD195" i="1"/>
  <c r="AE195" i="1" s="1"/>
  <c r="AF195" i="1" s="1"/>
  <c r="AG195" i="1" s="1"/>
  <c r="AH195" i="1" s="1"/>
  <c r="AD162" i="1"/>
  <c r="AE162" i="1" s="1"/>
  <c r="AF162" i="1" s="1"/>
  <c r="AG162" i="1" s="1"/>
  <c r="AH162" i="1" s="1"/>
  <c r="AD102" i="1"/>
  <c r="AE102" i="1" s="1"/>
  <c r="AF102" i="1" s="1"/>
  <c r="AG102" i="1" s="1"/>
  <c r="AH102" i="1" s="1"/>
  <c r="AD144" i="1"/>
  <c r="AE144" i="1" s="1"/>
  <c r="AF144" i="1" s="1"/>
  <c r="AG144" i="1" s="1"/>
  <c r="AH144" i="1" s="1"/>
  <c r="AD112" i="1"/>
  <c r="AE112" i="1" s="1"/>
  <c r="AF112" i="1" s="1"/>
  <c r="AG112" i="1" s="1"/>
  <c r="AH112" i="1" s="1"/>
  <c r="AD179" i="1"/>
  <c r="AE179" i="1" s="1"/>
  <c r="AF179" i="1" s="1"/>
  <c r="AG179" i="1" s="1"/>
  <c r="AH179" i="1" s="1"/>
  <c r="AD105" i="1"/>
  <c r="AE105" i="1" s="1"/>
  <c r="AF105" i="1" s="1"/>
  <c r="AG105" i="1" s="1"/>
  <c r="AH105" i="1" s="1"/>
  <c r="AD180" i="1"/>
  <c r="AE180" i="1" s="1"/>
  <c r="AF180" i="1" s="1"/>
  <c r="AG180" i="1" s="1"/>
  <c r="AH180" i="1" s="1"/>
  <c r="AD153" i="1"/>
  <c r="AE153" i="1" s="1"/>
  <c r="AF153" i="1" s="1"/>
  <c r="AG153" i="1" s="1"/>
  <c r="AH153" i="1" s="1"/>
  <c r="M250" i="1"/>
  <c r="M266" i="1"/>
  <c r="M232" i="1"/>
  <c r="M233" i="1" l="1"/>
  <c r="M87" i="1" s="1"/>
  <c r="M267" i="1"/>
  <c r="O87" i="1" s="1"/>
  <c r="N266" i="1"/>
  <c r="G266" i="1"/>
  <c r="N267" i="1"/>
  <c r="N251" i="1"/>
  <c r="N233" i="1"/>
  <c r="G232" i="1"/>
  <c r="M84" i="1"/>
  <c r="N232" i="1"/>
  <c r="O86" i="1"/>
  <c r="M86" i="1"/>
  <c r="N86" i="1"/>
  <c r="F245" i="1"/>
  <c r="G245" i="1"/>
  <c r="AF202" i="1"/>
  <c r="N79" i="1"/>
  <c r="AC96" i="1"/>
  <c r="N243" i="1"/>
  <c r="M245" i="1" l="1"/>
  <c r="M246" i="1" s="1"/>
  <c r="G250" i="1" l="1"/>
  <c r="N250" i="1"/>
  <c r="M247" i="1"/>
  <c r="M251" i="1" s="1"/>
  <c r="N81" i="1"/>
  <c r="N80" i="1"/>
  <c r="M249" i="1" l="1"/>
  <c r="N85" i="1" s="1"/>
  <c r="N82" i="1"/>
  <c r="N83" i="1"/>
  <c r="N87" i="1"/>
  <c r="N249" i="1" l="1"/>
  <c r="G24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Raphael Suda</author>
  </authors>
  <commentList>
    <comment ref="K9" authorId="0" shapeId="0" xr:uid="{00000000-0006-0000-0D00-000001000000}">
      <text>
        <r>
          <rPr>
            <sz val="9"/>
            <color indexed="81"/>
            <rFont val="Segoe UI"/>
            <family val="2"/>
          </rPr>
          <t>Mit diesem Wert kann die Länge der angezeigten Liste verlängert werden! 1 Zeigt im Listenfeld im Tabellenblatt Berechnung nur den ersten Wert an, 2 zeigt die gesamte Liste an!</t>
        </r>
      </text>
    </comment>
  </commentList>
</comments>
</file>

<file path=xl/sharedStrings.xml><?xml version="1.0" encoding="utf-8"?>
<sst xmlns="http://schemas.openxmlformats.org/spreadsheetml/2006/main" count="2553" uniqueCount="667">
  <si>
    <t>-</t>
  </si>
  <si>
    <t>Bearing</t>
  </si>
  <si>
    <t>h =</t>
  </si>
  <si>
    <r>
      <t>l</t>
    </r>
    <r>
      <rPr>
        <vertAlign val="subscript"/>
        <sz val="10"/>
        <color theme="1"/>
        <rFont val="Arial"/>
        <family val="2"/>
        <scheme val="minor"/>
      </rPr>
      <t>D1</t>
    </r>
    <r>
      <rPr>
        <sz val="10"/>
        <color theme="1"/>
        <rFont val="Arial"/>
        <family val="2"/>
        <scheme val="minor"/>
      </rPr>
      <t xml:space="preserve"> =</t>
    </r>
  </si>
  <si>
    <r>
      <t>l</t>
    </r>
    <r>
      <rPr>
        <vertAlign val="subscript"/>
        <sz val="10"/>
        <color theme="1"/>
        <rFont val="Arial"/>
        <family val="2"/>
        <scheme val="minor"/>
      </rPr>
      <t>D2</t>
    </r>
    <r>
      <rPr>
        <sz val="10"/>
        <color theme="1"/>
        <rFont val="Arial"/>
        <family val="2"/>
        <scheme val="minor"/>
      </rPr>
      <t xml:space="preserve"> =</t>
    </r>
  </si>
  <si>
    <r>
      <t>t</t>
    </r>
    <r>
      <rPr>
        <vertAlign val="subscript"/>
        <sz val="10"/>
        <color theme="1"/>
        <rFont val="Arial"/>
        <family val="2"/>
        <scheme val="minor"/>
      </rPr>
      <t>D</t>
    </r>
    <r>
      <rPr>
        <sz val="10"/>
        <color theme="1"/>
        <rFont val="Arial"/>
        <family val="2"/>
        <scheme val="minor"/>
      </rPr>
      <t xml:space="preserve"> =</t>
    </r>
  </si>
  <si>
    <r>
      <t>g</t>
    </r>
    <r>
      <rPr>
        <vertAlign val="subscript"/>
        <sz val="10"/>
        <color theme="1"/>
        <rFont val="Arial"/>
        <family val="2"/>
        <scheme val="minor"/>
      </rPr>
      <t>D</t>
    </r>
    <r>
      <rPr>
        <sz val="10"/>
        <color theme="1"/>
        <rFont val="Arial"/>
        <family val="2"/>
        <scheme val="minor"/>
      </rPr>
      <t xml:space="preserve"> =</t>
    </r>
  </si>
  <si>
    <r>
      <t>q</t>
    </r>
    <r>
      <rPr>
        <vertAlign val="subscript"/>
        <sz val="10"/>
        <color theme="1"/>
        <rFont val="Arial"/>
        <family val="2"/>
        <scheme val="minor"/>
      </rPr>
      <t>D</t>
    </r>
    <r>
      <rPr>
        <sz val="10"/>
        <color theme="1"/>
        <rFont val="Arial"/>
        <family val="2"/>
        <scheme val="minor"/>
      </rPr>
      <t xml:space="preserve"> =</t>
    </r>
  </si>
  <si>
    <t>Wall01</t>
  </si>
  <si>
    <t>Hinged</t>
  </si>
  <si>
    <t>Fixed</t>
  </si>
  <si>
    <t>Wall02</t>
  </si>
  <si>
    <t>Wall03</t>
  </si>
  <si>
    <t>Slab01</t>
  </si>
  <si>
    <t>Slab02</t>
  </si>
  <si>
    <t>Slab03</t>
  </si>
  <si>
    <t>Slab04</t>
  </si>
  <si>
    <t>C12/15</t>
  </si>
  <si>
    <t>C16/20</t>
  </si>
  <si>
    <t>C20/25</t>
  </si>
  <si>
    <t>C25/30</t>
  </si>
  <si>
    <t>C30/37</t>
  </si>
  <si>
    <t>C35/45</t>
  </si>
  <si>
    <t>C40/50</t>
  </si>
  <si>
    <t>C45/55</t>
  </si>
  <si>
    <t>C50/60</t>
  </si>
  <si>
    <t>C55/67</t>
  </si>
  <si>
    <t>C60/75</t>
  </si>
  <si>
    <t>C70/85</t>
  </si>
  <si>
    <t>C80/95</t>
  </si>
  <si>
    <t>C90/105</t>
  </si>
  <si>
    <t>C100/115</t>
  </si>
  <si>
    <t>SlabBearing</t>
  </si>
  <si>
    <r>
      <t>N</t>
    </r>
    <r>
      <rPr>
        <vertAlign val="subscript"/>
        <sz val="10"/>
        <color theme="1"/>
        <rFont val="Arial"/>
        <family val="2"/>
        <scheme val="minor"/>
      </rPr>
      <t>md</t>
    </r>
    <r>
      <rPr>
        <sz val="10"/>
        <color theme="1"/>
        <rFont val="Arial"/>
        <family val="2"/>
        <scheme val="minor"/>
      </rPr>
      <t xml:space="preserve"> = </t>
    </r>
  </si>
  <si>
    <r>
      <t>N</t>
    </r>
    <r>
      <rPr>
        <vertAlign val="subscript"/>
        <sz val="10"/>
        <color theme="1"/>
        <rFont val="Arial"/>
        <family val="2"/>
        <scheme val="minor"/>
      </rPr>
      <t>2d</t>
    </r>
    <r>
      <rPr>
        <sz val="10"/>
        <color theme="1"/>
        <rFont val="Arial"/>
        <family val="2"/>
        <scheme val="minor"/>
      </rPr>
      <t xml:space="preserve"> =</t>
    </r>
  </si>
  <si>
    <r>
      <t>w</t>
    </r>
    <r>
      <rPr>
        <vertAlign val="subscript"/>
        <sz val="10"/>
        <color theme="1"/>
        <rFont val="Arial"/>
        <family val="2"/>
        <scheme val="minor"/>
      </rPr>
      <t>D,d</t>
    </r>
    <r>
      <rPr>
        <sz val="10"/>
        <color theme="1"/>
        <rFont val="Arial"/>
        <family val="2"/>
        <scheme val="minor"/>
      </rPr>
      <t xml:space="preserve"> = w</t>
    </r>
    <r>
      <rPr>
        <vertAlign val="subscript"/>
        <sz val="10"/>
        <color theme="1"/>
        <rFont val="Arial"/>
        <family val="2"/>
        <scheme val="minor"/>
      </rPr>
      <t>S,d</t>
    </r>
    <r>
      <rPr>
        <sz val="10"/>
        <color theme="1"/>
        <rFont val="Arial"/>
        <family val="2"/>
        <scheme val="minor"/>
      </rPr>
      <t xml:space="preserve"> =</t>
    </r>
  </si>
  <si>
    <t>selection brick product</t>
  </si>
  <si>
    <t>selection mortar product</t>
  </si>
  <si>
    <t>selection slab type</t>
  </si>
  <si>
    <t>selection slab bearing</t>
  </si>
  <si>
    <t>selection concrete type</t>
  </si>
  <si>
    <t>n =</t>
  </si>
  <si>
    <t>t =</t>
  </si>
  <si>
    <r>
      <t>f</t>
    </r>
    <r>
      <rPr>
        <vertAlign val="subscript"/>
        <sz val="10"/>
        <color theme="1"/>
        <rFont val="Arial"/>
        <family val="2"/>
        <scheme val="minor"/>
      </rPr>
      <t>k</t>
    </r>
    <r>
      <rPr>
        <sz val="10"/>
        <color theme="1"/>
        <rFont val="Arial"/>
        <family val="2"/>
        <scheme val="minor"/>
      </rPr>
      <t xml:space="preserve"> =</t>
    </r>
  </si>
  <si>
    <r>
      <t>K</t>
    </r>
    <r>
      <rPr>
        <vertAlign val="subscript"/>
        <sz val="10"/>
        <color theme="1"/>
        <rFont val="Arial"/>
        <family val="2"/>
        <scheme val="minor"/>
      </rPr>
      <t>E</t>
    </r>
    <r>
      <rPr>
        <sz val="10"/>
        <color theme="1"/>
        <rFont val="Arial"/>
        <family val="2"/>
        <scheme val="minor"/>
      </rPr>
      <t xml:space="preserve"> =</t>
    </r>
  </si>
  <si>
    <t>Final creep coefficient of masonry</t>
  </si>
  <si>
    <r>
      <t>F</t>
    </r>
    <r>
      <rPr>
        <vertAlign val="subscript"/>
        <sz val="10"/>
        <rFont val="Arial"/>
        <family val="2"/>
      </rPr>
      <t xml:space="preserve">inf </t>
    </r>
    <r>
      <rPr>
        <sz val="10"/>
        <rFont val="Arial"/>
        <family val="2"/>
      </rPr>
      <t>=</t>
    </r>
  </si>
  <si>
    <t>E =</t>
  </si>
  <si>
    <r>
      <rPr>
        <sz val="10"/>
        <color theme="1"/>
        <rFont val="Symbol"/>
        <family val="1"/>
        <charset val="2"/>
      </rPr>
      <t>l</t>
    </r>
    <r>
      <rPr>
        <vertAlign val="subscript"/>
        <sz val="10"/>
        <color theme="1"/>
        <rFont val="Arial"/>
        <family val="2"/>
        <scheme val="minor"/>
      </rPr>
      <t>c</t>
    </r>
    <r>
      <rPr>
        <sz val="10"/>
        <color theme="1"/>
        <rFont val="Arial"/>
        <family val="2"/>
        <scheme val="minor"/>
      </rPr>
      <t xml:space="preserve"> =</t>
    </r>
  </si>
  <si>
    <t>n</t>
  </si>
  <si>
    <r>
      <t>n</t>
    </r>
    <r>
      <rPr>
        <vertAlign val="subscript"/>
        <sz val="10"/>
        <color theme="1"/>
        <rFont val="Arial"/>
        <family val="2"/>
        <scheme val="minor"/>
      </rPr>
      <t>D</t>
    </r>
    <r>
      <rPr>
        <sz val="10"/>
        <color theme="1"/>
        <rFont val="Arial"/>
        <family val="2"/>
        <scheme val="minor"/>
      </rPr>
      <t xml:space="preserve"> =</t>
    </r>
  </si>
  <si>
    <r>
      <t>I</t>
    </r>
    <r>
      <rPr>
        <vertAlign val="subscript"/>
        <sz val="10"/>
        <color theme="1"/>
        <rFont val="Arial"/>
        <family val="2"/>
        <scheme val="minor"/>
      </rPr>
      <t>D</t>
    </r>
    <r>
      <rPr>
        <sz val="10"/>
        <color theme="1"/>
        <rFont val="Arial"/>
        <family val="2"/>
        <scheme val="minor"/>
      </rPr>
      <t xml:space="preserve"> =</t>
    </r>
  </si>
  <si>
    <r>
      <t>E</t>
    </r>
    <r>
      <rPr>
        <vertAlign val="subscript"/>
        <sz val="10"/>
        <color theme="1"/>
        <rFont val="Arial"/>
        <family val="2"/>
        <scheme val="minor"/>
      </rPr>
      <t>D</t>
    </r>
    <r>
      <rPr>
        <sz val="10"/>
        <color theme="1"/>
        <rFont val="Arial"/>
        <family val="2"/>
        <scheme val="minor"/>
      </rPr>
      <t xml:space="preserve"> =</t>
    </r>
  </si>
  <si>
    <r>
      <t>c</t>
    </r>
    <r>
      <rPr>
        <vertAlign val="subscript"/>
        <sz val="10"/>
        <color theme="1"/>
        <rFont val="Arial"/>
        <family val="2"/>
        <scheme val="minor"/>
      </rPr>
      <t>D</t>
    </r>
    <r>
      <rPr>
        <sz val="10"/>
        <color theme="1"/>
        <rFont val="Arial"/>
        <family val="2"/>
        <scheme val="minor"/>
      </rPr>
      <t xml:space="preserve"> =</t>
    </r>
  </si>
  <si>
    <r>
      <t>cq</t>
    </r>
    <r>
      <rPr>
        <vertAlign val="subscript"/>
        <sz val="10"/>
        <color theme="1"/>
        <rFont val="Arial"/>
        <family val="2"/>
        <scheme val="minor"/>
      </rPr>
      <t xml:space="preserve">D </t>
    </r>
    <r>
      <rPr>
        <sz val="10"/>
        <color theme="1"/>
        <rFont val="Arial"/>
        <family val="2"/>
        <scheme val="minor"/>
      </rPr>
      <t>=</t>
    </r>
  </si>
  <si>
    <r>
      <t>M</t>
    </r>
    <r>
      <rPr>
        <vertAlign val="subscript"/>
        <sz val="10"/>
        <color theme="1"/>
        <rFont val="Arial"/>
        <family val="2"/>
        <scheme val="minor"/>
      </rPr>
      <t>w,d_m</t>
    </r>
    <r>
      <rPr>
        <sz val="10"/>
        <color theme="1"/>
        <rFont val="Arial"/>
        <family val="2"/>
        <scheme val="minor"/>
      </rPr>
      <t xml:space="preserve"> =</t>
    </r>
  </si>
  <si>
    <r>
      <t>M</t>
    </r>
    <r>
      <rPr>
        <vertAlign val="subscript"/>
        <sz val="10"/>
        <color theme="1"/>
        <rFont val="Arial"/>
        <family val="2"/>
        <scheme val="minor"/>
      </rPr>
      <t>md</t>
    </r>
    <r>
      <rPr>
        <sz val="10"/>
        <color theme="1"/>
        <rFont val="Arial"/>
        <family val="2"/>
        <scheme val="minor"/>
      </rPr>
      <t xml:space="preserve"> = </t>
    </r>
  </si>
  <si>
    <r>
      <t>M</t>
    </r>
    <r>
      <rPr>
        <vertAlign val="subscript"/>
        <sz val="10"/>
        <color theme="1"/>
        <rFont val="Arial"/>
        <family val="2"/>
        <scheme val="minor"/>
      </rPr>
      <t xml:space="preserve">maßg </t>
    </r>
    <r>
      <rPr>
        <sz val="10"/>
        <color theme="1"/>
        <rFont val="Arial"/>
        <family val="2"/>
        <scheme val="minor"/>
      </rPr>
      <t>=</t>
    </r>
  </si>
  <si>
    <r>
      <t>M</t>
    </r>
    <r>
      <rPr>
        <vertAlign val="subscript"/>
        <sz val="10"/>
        <color theme="1"/>
        <rFont val="Arial"/>
        <family val="2"/>
        <scheme val="minor"/>
      </rPr>
      <t>2d</t>
    </r>
    <r>
      <rPr>
        <sz val="10"/>
        <color theme="1"/>
        <rFont val="Arial"/>
        <family val="2"/>
        <scheme val="minor"/>
      </rPr>
      <t xml:space="preserve"> = </t>
    </r>
  </si>
  <si>
    <r>
      <rPr>
        <sz val="10"/>
        <color theme="1"/>
        <rFont val="Symbol"/>
        <family val="1"/>
        <charset val="2"/>
      </rPr>
      <t>h</t>
    </r>
    <r>
      <rPr>
        <vertAlign val="subscript"/>
        <sz val="10"/>
        <color theme="1"/>
        <rFont val="Arial"/>
        <family val="2"/>
        <scheme val="minor"/>
      </rPr>
      <t>2d</t>
    </r>
    <r>
      <rPr>
        <sz val="10"/>
        <color theme="1"/>
        <rFont val="Arial"/>
        <family val="2"/>
        <scheme val="minor"/>
      </rPr>
      <t>=</t>
    </r>
  </si>
  <si>
    <r>
      <t>M</t>
    </r>
    <r>
      <rPr>
        <vertAlign val="subscript"/>
        <sz val="10"/>
        <color theme="1"/>
        <rFont val="Arial"/>
        <family val="2"/>
        <scheme val="minor"/>
      </rPr>
      <t>1d</t>
    </r>
    <r>
      <rPr>
        <sz val="10"/>
        <color theme="1"/>
        <rFont val="Arial"/>
        <family val="2"/>
        <scheme val="minor"/>
      </rPr>
      <t xml:space="preserve"> = </t>
    </r>
  </si>
  <si>
    <r>
      <rPr>
        <sz val="10"/>
        <color theme="1"/>
        <rFont val="Symbol"/>
        <family val="1"/>
        <charset val="2"/>
      </rPr>
      <t>h</t>
    </r>
    <r>
      <rPr>
        <vertAlign val="subscript"/>
        <sz val="10"/>
        <color theme="1"/>
        <rFont val="Arial"/>
        <family val="2"/>
      </rPr>
      <t>1d</t>
    </r>
    <r>
      <rPr>
        <sz val="10"/>
        <color theme="1"/>
        <rFont val="Arial"/>
        <family val="2"/>
        <scheme val="minor"/>
      </rPr>
      <t xml:space="preserve"> =</t>
    </r>
  </si>
  <si>
    <r>
      <t>N</t>
    </r>
    <r>
      <rPr>
        <vertAlign val="subscript"/>
        <sz val="10"/>
        <color theme="1"/>
        <rFont val="Arial"/>
        <family val="2"/>
        <scheme val="minor"/>
      </rPr>
      <t>1d</t>
    </r>
    <r>
      <rPr>
        <sz val="10"/>
        <color theme="1"/>
        <rFont val="Arial"/>
        <family val="2"/>
        <scheme val="minor"/>
      </rPr>
      <t xml:space="preserve"> =</t>
    </r>
  </si>
  <si>
    <r>
      <t>e</t>
    </r>
    <r>
      <rPr>
        <vertAlign val="subscript"/>
        <sz val="10"/>
        <color theme="1"/>
        <rFont val="Arial"/>
        <family val="2"/>
        <scheme val="minor"/>
      </rPr>
      <t>h1</t>
    </r>
    <r>
      <rPr>
        <sz val="10"/>
        <color theme="1"/>
        <rFont val="Arial"/>
        <family val="2"/>
        <scheme val="minor"/>
      </rPr>
      <t xml:space="preserve"> =</t>
    </r>
  </si>
  <si>
    <r>
      <t>e</t>
    </r>
    <r>
      <rPr>
        <vertAlign val="subscript"/>
        <sz val="10"/>
        <color theme="1"/>
        <rFont val="Arial"/>
        <family val="2"/>
        <scheme val="minor"/>
      </rPr>
      <t>init</t>
    </r>
    <r>
      <rPr>
        <sz val="10"/>
        <color theme="1"/>
        <rFont val="Arial"/>
        <family val="2"/>
        <scheme val="minor"/>
      </rPr>
      <t xml:space="preserve"> =</t>
    </r>
  </si>
  <si>
    <r>
      <t>F</t>
    </r>
    <r>
      <rPr>
        <vertAlign val="subscript"/>
        <sz val="10"/>
        <rFont val="Arial"/>
        <family val="2"/>
      </rPr>
      <t xml:space="preserve">1 </t>
    </r>
    <r>
      <rPr>
        <sz val="10"/>
        <rFont val="Arial"/>
        <family val="2"/>
      </rPr>
      <t>=</t>
    </r>
  </si>
  <si>
    <r>
      <t>e</t>
    </r>
    <r>
      <rPr>
        <vertAlign val="subscript"/>
        <sz val="10"/>
        <color theme="1"/>
        <rFont val="Arial"/>
        <family val="2"/>
        <scheme val="minor"/>
      </rPr>
      <t>sys</t>
    </r>
    <r>
      <rPr>
        <sz val="10"/>
        <color theme="1"/>
        <rFont val="Arial"/>
        <family val="2"/>
        <scheme val="minor"/>
      </rPr>
      <t xml:space="preserve"> =</t>
    </r>
  </si>
  <si>
    <r>
      <t>e</t>
    </r>
    <r>
      <rPr>
        <vertAlign val="subscript"/>
        <sz val="10"/>
        <color theme="1"/>
        <rFont val="Arial"/>
        <family val="2"/>
        <scheme val="minor"/>
      </rPr>
      <t>hm</t>
    </r>
    <r>
      <rPr>
        <sz val="10"/>
        <color theme="1"/>
        <rFont val="Arial"/>
        <family val="2"/>
        <scheme val="minor"/>
      </rPr>
      <t xml:space="preserve"> =</t>
    </r>
  </si>
  <si>
    <r>
      <t>e</t>
    </r>
    <r>
      <rPr>
        <vertAlign val="subscript"/>
        <sz val="10"/>
        <color theme="1"/>
        <rFont val="Arial"/>
        <family val="2"/>
        <scheme val="minor"/>
      </rPr>
      <t>m</t>
    </r>
    <r>
      <rPr>
        <sz val="10"/>
        <color theme="1"/>
        <rFont val="Arial"/>
        <family val="2"/>
        <scheme val="minor"/>
      </rPr>
      <t xml:space="preserve"> = </t>
    </r>
  </si>
  <si>
    <r>
      <t>e</t>
    </r>
    <r>
      <rPr>
        <vertAlign val="subscript"/>
        <sz val="10"/>
        <color theme="1"/>
        <rFont val="Arial"/>
        <family val="2"/>
        <scheme val="minor"/>
      </rPr>
      <t>k</t>
    </r>
    <r>
      <rPr>
        <sz val="10"/>
        <color theme="1"/>
        <rFont val="Arial"/>
        <family val="2"/>
        <scheme val="minor"/>
      </rPr>
      <t xml:space="preserve"> =</t>
    </r>
  </si>
  <si>
    <r>
      <t>e</t>
    </r>
    <r>
      <rPr>
        <vertAlign val="subscript"/>
        <sz val="10"/>
        <color theme="1"/>
        <rFont val="Arial"/>
        <family val="2"/>
        <scheme val="minor"/>
      </rPr>
      <t>mk</t>
    </r>
    <r>
      <rPr>
        <sz val="10"/>
        <color theme="1"/>
        <rFont val="Arial"/>
        <family val="2"/>
        <scheme val="minor"/>
      </rPr>
      <t xml:space="preserve"> =</t>
    </r>
  </si>
  <si>
    <r>
      <t>h</t>
    </r>
    <r>
      <rPr>
        <vertAlign val="subscript"/>
        <sz val="10"/>
        <color theme="1"/>
        <rFont val="Arial"/>
        <family val="2"/>
        <scheme val="minor"/>
      </rPr>
      <t>ef</t>
    </r>
    <r>
      <rPr>
        <sz val="10"/>
        <color theme="1"/>
        <rFont val="Arial"/>
        <family val="2"/>
        <scheme val="minor"/>
      </rPr>
      <t xml:space="preserve"> =</t>
    </r>
  </si>
  <si>
    <r>
      <t>F</t>
    </r>
    <r>
      <rPr>
        <vertAlign val="subscript"/>
        <sz val="10"/>
        <rFont val="Arial"/>
        <family val="2"/>
      </rPr>
      <t xml:space="preserve">m </t>
    </r>
    <r>
      <rPr>
        <sz val="10"/>
        <rFont val="Arial"/>
        <family val="2"/>
      </rPr>
      <t>=</t>
    </r>
  </si>
  <si>
    <r>
      <t>e</t>
    </r>
    <r>
      <rPr>
        <vertAlign val="subscript"/>
        <sz val="10"/>
        <color theme="1"/>
        <rFont val="Arial"/>
        <family val="2"/>
        <scheme val="minor"/>
      </rPr>
      <t>h2</t>
    </r>
    <r>
      <rPr>
        <sz val="10"/>
        <color theme="1"/>
        <rFont val="Arial"/>
        <family val="2"/>
        <scheme val="minor"/>
      </rPr>
      <t xml:space="preserve"> =</t>
    </r>
  </si>
  <si>
    <r>
      <t>e</t>
    </r>
    <r>
      <rPr>
        <vertAlign val="subscript"/>
        <sz val="10"/>
        <color theme="1"/>
        <rFont val="Arial"/>
        <family val="2"/>
        <scheme val="minor"/>
      </rPr>
      <t>2</t>
    </r>
    <r>
      <rPr>
        <sz val="10"/>
        <color theme="1"/>
        <rFont val="Arial"/>
        <family val="2"/>
        <scheme val="minor"/>
      </rPr>
      <t xml:space="preserve"> =</t>
    </r>
  </si>
  <si>
    <r>
      <t>F</t>
    </r>
    <r>
      <rPr>
        <vertAlign val="subscript"/>
        <sz val="10"/>
        <rFont val="Arial"/>
        <family val="2"/>
      </rPr>
      <t xml:space="preserve">2 </t>
    </r>
    <r>
      <rPr>
        <sz val="10"/>
        <rFont val="Arial"/>
        <family val="2"/>
      </rPr>
      <t>=</t>
    </r>
  </si>
  <si>
    <t>Inf.</t>
  </si>
  <si>
    <t>Partial material safety factor</t>
  </si>
  <si>
    <r>
      <rPr>
        <sz val="10"/>
        <color theme="1"/>
        <rFont val="Symbol"/>
        <family val="1"/>
        <charset val="2"/>
      </rPr>
      <t>g</t>
    </r>
    <r>
      <rPr>
        <vertAlign val="subscript"/>
        <sz val="10"/>
        <color theme="1"/>
        <rFont val="Arial"/>
        <family val="2"/>
        <scheme val="minor"/>
      </rPr>
      <t>m</t>
    </r>
    <r>
      <rPr>
        <sz val="10"/>
        <color theme="1"/>
        <rFont val="Arial"/>
        <family val="2"/>
        <scheme val="minor"/>
      </rPr>
      <t xml:space="preserve"> =</t>
    </r>
  </si>
  <si>
    <t>NO</t>
  </si>
  <si>
    <t>YES</t>
  </si>
  <si>
    <t>Maximum wall slenderness for neglecting creep eccentricity</t>
  </si>
  <si>
    <t>Plane</t>
  </si>
  <si>
    <t>selection concrete fill</t>
  </si>
  <si>
    <r>
      <rPr>
        <sz val="10"/>
        <color theme="1"/>
        <rFont val="Symbol"/>
        <family val="1"/>
        <charset val="2"/>
      </rPr>
      <t>r</t>
    </r>
    <r>
      <rPr>
        <vertAlign val="subscript"/>
        <sz val="10"/>
        <color theme="1"/>
        <rFont val="Arial"/>
        <family val="2"/>
        <scheme val="minor"/>
      </rPr>
      <t>2</t>
    </r>
    <r>
      <rPr>
        <sz val="10"/>
        <color theme="1"/>
        <rFont val="Arial"/>
        <family val="2"/>
        <scheme val="minor"/>
      </rPr>
      <t xml:space="preserve"> =</t>
    </r>
  </si>
  <si>
    <t>l =</t>
  </si>
  <si>
    <t>Range</t>
  </si>
  <si>
    <t>Output phrase</t>
  </si>
  <si>
    <t>Description</t>
  </si>
  <si>
    <t>selection main group</t>
  </si>
  <si>
    <t>Main product groups Wall01</t>
  </si>
  <si>
    <t>Shown when no input is needed in a range.</t>
  </si>
  <si>
    <t>t concrete wall</t>
  </si>
  <si>
    <t>x</t>
  </si>
  <si>
    <t>y</t>
  </si>
  <si>
    <t>M</t>
  </si>
  <si>
    <t>NRd,max</t>
  </si>
  <si>
    <t>NRd</t>
  </si>
  <si>
    <t>eRd</t>
  </si>
  <si>
    <t>MRd</t>
  </si>
  <si>
    <t>aNetto</t>
  </si>
  <si>
    <t>em_max</t>
  </si>
  <si>
    <t>em</t>
  </si>
  <si>
    <t>ek</t>
  </si>
  <si>
    <t>emk</t>
  </si>
  <si>
    <t>Med</t>
  </si>
  <si>
    <t>Ned</t>
  </si>
  <si>
    <r>
      <t>N</t>
    </r>
    <r>
      <rPr>
        <vertAlign val="subscript"/>
        <sz val="10"/>
        <color theme="1"/>
        <rFont val="Arial"/>
        <family val="2"/>
        <scheme val="minor"/>
      </rPr>
      <t>id</t>
    </r>
    <r>
      <rPr>
        <sz val="10"/>
        <color theme="1"/>
        <rFont val="Arial"/>
        <family val="2"/>
        <scheme val="minor"/>
      </rPr>
      <t xml:space="preserve"> =</t>
    </r>
  </si>
  <si>
    <r>
      <t>e</t>
    </r>
    <r>
      <rPr>
        <vertAlign val="subscript"/>
        <sz val="10"/>
        <color theme="1"/>
        <rFont val="Arial"/>
        <family val="2"/>
        <scheme val="minor"/>
      </rPr>
      <t>i</t>
    </r>
    <r>
      <rPr>
        <sz val="10"/>
        <color theme="1"/>
        <rFont val="Arial"/>
        <family val="2"/>
        <scheme val="minor"/>
      </rPr>
      <t xml:space="preserve"> =</t>
    </r>
  </si>
  <si>
    <r>
      <t>F</t>
    </r>
    <r>
      <rPr>
        <vertAlign val="subscript"/>
        <sz val="10"/>
        <rFont val="Arial"/>
        <family val="2"/>
      </rPr>
      <t xml:space="preserve">i </t>
    </r>
    <r>
      <rPr>
        <sz val="10"/>
        <rFont val="Arial"/>
        <family val="2"/>
      </rPr>
      <t>=</t>
    </r>
  </si>
  <si>
    <r>
      <t>h</t>
    </r>
    <r>
      <rPr>
        <b/>
        <vertAlign val="subscript"/>
        <sz val="10"/>
        <color theme="1"/>
        <rFont val="Arial"/>
        <family val="2"/>
        <scheme val="minor"/>
      </rPr>
      <t>i</t>
    </r>
    <r>
      <rPr>
        <b/>
        <sz val="10"/>
        <color theme="1"/>
        <rFont val="Symbol"/>
        <family val="1"/>
        <charset val="2"/>
      </rPr>
      <t xml:space="preserve"> =</t>
    </r>
  </si>
  <si>
    <t>Maximum wall slenderness for masonry</t>
  </si>
  <si>
    <t>Shown when concrete wall is chosen.</t>
  </si>
  <si>
    <t>Stiffness Factor Bearing when Cantilever</t>
  </si>
  <si>
    <t>A =</t>
  </si>
  <si>
    <t>A&lt;</t>
  </si>
  <si>
    <t>Construction parts</t>
  </si>
  <si>
    <t>Wall</t>
  </si>
  <si>
    <t>Bending moments</t>
  </si>
  <si>
    <t>Outline</t>
  </si>
  <si>
    <t>Interaction plot</t>
  </si>
  <si>
    <t>Main product groups Wall 02</t>
  </si>
  <si>
    <t>Main product groups Wall 03</t>
  </si>
  <si>
    <t>Factor</t>
  </si>
  <si>
    <r>
      <rPr>
        <sz val="10"/>
        <color theme="1"/>
        <rFont val="Symbol"/>
        <family val="1"/>
        <charset val="2"/>
      </rPr>
      <t>r</t>
    </r>
    <r>
      <rPr>
        <vertAlign val="subscript"/>
        <sz val="10"/>
        <color theme="1"/>
        <rFont val="Arial"/>
        <family val="2"/>
        <scheme val="minor"/>
      </rPr>
      <t>3</t>
    </r>
    <r>
      <rPr>
        <sz val="10"/>
        <color theme="1"/>
        <rFont val="Arial"/>
        <family val="2"/>
        <scheme val="minor"/>
      </rPr>
      <t xml:space="preserve"> =</t>
    </r>
  </si>
  <si>
    <r>
      <rPr>
        <sz val="10"/>
        <color theme="1"/>
        <rFont val="Symbol"/>
        <family val="1"/>
        <charset val="2"/>
      </rPr>
      <t>r</t>
    </r>
    <r>
      <rPr>
        <vertAlign val="subscript"/>
        <sz val="10"/>
        <color theme="1"/>
        <rFont val="Arial"/>
        <family val="2"/>
        <scheme val="minor"/>
      </rPr>
      <t>4</t>
    </r>
    <r>
      <rPr>
        <sz val="10"/>
        <color theme="1"/>
        <rFont val="Arial"/>
        <family val="2"/>
        <scheme val="minor"/>
      </rPr>
      <t xml:space="preserve"> =</t>
    </r>
  </si>
  <si>
    <t>rho_3&gt;</t>
  </si>
  <si>
    <t>Minimum value of effective height parameter.</t>
  </si>
  <si>
    <t>m' =</t>
  </si>
  <si>
    <t>[kg/m²]</t>
  </si>
  <si>
    <t>[N/mm²]</t>
  </si>
  <si>
    <t>[-]</t>
  </si>
  <si>
    <t>[cm]</t>
  </si>
  <si>
    <t>g =</t>
  </si>
  <si>
    <t>Constant of gravitation.</t>
  </si>
  <si>
    <t>Partial safety parameter for dead loads.</t>
  </si>
  <si>
    <t>b =</t>
  </si>
  <si>
    <t>Wind</t>
  </si>
  <si>
    <t>Shown when Slabs 3 or 4 are existing.</t>
  </si>
  <si>
    <t>Shown when wall slenderness is greater than maximum.</t>
  </si>
  <si>
    <t>Shown when load factor is smaller than 1.</t>
  </si>
  <si>
    <t>Shown when load factor is greater or equal to 1.</t>
  </si>
  <si>
    <r>
      <t>e</t>
    </r>
    <r>
      <rPr>
        <vertAlign val="subscript"/>
        <sz val="10"/>
        <color theme="1"/>
        <rFont val="Arial"/>
        <family val="2"/>
        <scheme val="minor"/>
      </rPr>
      <t>h1,w</t>
    </r>
    <r>
      <rPr>
        <sz val="10"/>
        <color theme="1"/>
        <rFont val="Arial"/>
        <family val="2"/>
        <scheme val="minor"/>
      </rPr>
      <t xml:space="preserve"> =</t>
    </r>
  </si>
  <si>
    <r>
      <t>e</t>
    </r>
    <r>
      <rPr>
        <vertAlign val="subscript"/>
        <sz val="10"/>
        <color theme="1"/>
        <rFont val="Arial"/>
        <family val="2"/>
        <scheme val="minor"/>
      </rPr>
      <t>hm,w</t>
    </r>
    <r>
      <rPr>
        <sz val="10"/>
        <color theme="1"/>
        <rFont val="Arial"/>
        <family val="2"/>
        <scheme val="minor"/>
      </rPr>
      <t xml:space="preserve"> =</t>
    </r>
  </si>
  <si>
    <r>
      <t>e</t>
    </r>
    <r>
      <rPr>
        <vertAlign val="subscript"/>
        <sz val="10"/>
        <color theme="1"/>
        <rFont val="Arial"/>
        <family val="2"/>
        <scheme val="minor"/>
      </rPr>
      <t>h2,w</t>
    </r>
    <r>
      <rPr>
        <sz val="10"/>
        <color theme="1"/>
        <rFont val="Arial"/>
        <family val="2"/>
        <scheme val="minor"/>
      </rPr>
      <t xml:space="preserve"> =</t>
    </r>
  </si>
  <si>
    <t>Shown when axial forces are calculated automatical.</t>
  </si>
  <si>
    <t>selection brick strength</t>
  </si>
  <si>
    <t>selection vertical verges</t>
  </si>
  <si>
    <t>1.</t>
  </si>
  <si>
    <t>2.</t>
  </si>
  <si>
    <t>3.</t>
  </si>
  <si>
    <t>Instructions for adding new product</t>
  </si>
  <si>
    <t>Look for the main group the new brick fits in.</t>
  </si>
  <si>
    <t>If there is nor more room in the selected main group, select the whole last line of the group and add a new line through the context menu.</t>
  </si>
  <si>
    <t>Write the name of the new product in the next empty cell under the main group title.*</t>
  </si>
  <si>
    <t>4.</t>
  </si>
  <si>
    <t>Fill in the necessary brick information.**</t>
  </si>
  <si>
    <t>*</t>
  </si>
  <si>
    <t>**</t>
  </si>
  <si>
    <t>The calculation uses dynamic ranges. That means, there must be no line between the products in the same product group.</t>
  </si>
  <si>
    <t>If there is no more room in the outlined box, select the whole last line in the box and add a new line through the context menu.</t>
  </si>
  <si>
    <t>Write the name of the new product in the next empty cell under the yellow marked cell.*</t>
  </si>
  <si>
    <t>Fill in the necessary concrete information.**</t>
  </si>
  <si>
    <t>Instructions for adding new concrete type</t>
  </si>
  <si>
    <t>Maximum area for reducing masonry strength</t>
  </si>
  <si>
    <r>
      <t>λ</t>
    </r>
    <r>
      <rPr>
        <vertAlign val="subscript"/>
        <sz val="10"/>
        <color theme="1"/>
        <rFont val="Arial"/>
        <family val="2"/>
        <scheme val="minor"/>
      </rPr>
      <t>C</t>
    </r>
    <r>
      <rPr>
        <sz val="10"/>
        <color theme="1"/>
        <rFont val="Arial"/>
        <family val="2"/>
        <scheme val="minor"/>
      </rPr>
      <t xml:space="preserve"> ≤</t>
    </r>
  </si>
  <si>
    <r>
      <t>γ</t>
    </r>
    <r>
      <rPr>
        <vertAlign val="subscript"/>
        <sz val="10"/>
        <color theme="1"/>
        <rFont val="Calibri"/>
        <family val="2"/>
      </rPr>
      <t>g</t>
    </r>
    <r>
      <rPr>
        <sz val="10"/>
        <color theme="1"/>
        <rFont val="Calibri"/>
        <family val="2"/>
      </rPr>
      <t xml:space="preserve"> =</t>
    </r>
  </si>
  <si>
    <r>
      <t xml:space="preserve">The necessary information for the calculation is </t>
    </r>
    <r>
      <rPr>
        <b/>
        <sz val="10"/>
        <color theme="1"/>
        <rFont val="Arial"/>
        <family val="2"/>
        <scheme val="minor"/>
      </rPr>
      <t>written bold</t>
    </r>
    <r>
      <rPr>
        <sz val="10"/>
        <color theme="1"/>
        <rFont val="Arial"/>
        <family val="2"/>
        <scheme val="minor"/>
      </rPr>
      <t>. Without this information, the calculation will not work correctly!</t>
    </r>
  </si>
  <si>
    <r>
      <t>Compressive
strength f</t>
    </r>
    <r>
      <rPr>
        <b/>
        <vertAlign val="subscript"/>
        <sz val="10"/>
        <color theme="1"/>
        <rFont val="Arial"/>
        <family val="2"/>
        <scheme val="minor"/>
      </rPr>
      <t>ck</t>
    </r>
  </si>
  <si>
    <r>
      <t>Compressive
cube strength f</t>
    </r>
    <r>
      <rPr>
        <vertAlign val="subscript"/>
        <sz val="10"/>
        <color theme="1"/>
        <rFont val="Arial"/>
        <family val="2"/>
        <scheme val="minor"/>
      </rPr>
      <t>ck,cube</t>
    </r>
  </si>
  <si>
    <r>
      <t>Mean tensile
strength f</t>
    </r>
    <r>
      <rPr>
        <vertAlign val="subscript"/>
        <sz val="10"/>
        <color theme="1"/>
        <rFont val="Arial"/>
        <family val="2"/>
        <scheme val="minor"/>
      </rPr>
      <t>ctm</t>
    </r>
  </si>
  <si>
    <r>
      <t>Mean modulus
of elasticity E</t>
    </r>
    <r>
      <rPr>
        <b/>
        <vertAlign val="subscript"/>
        <sz val="10"/>
        <color theme="1"/>
        <rFont val="Arial"/>
        <family val="2"/>
        <scheme val="minor"/>
      </rPr>
      <t>m</t>
    </r>
  </si>
  <si>
    <r>
      <t>N</t>
    </r>
    <r>
      <rPr>
        <vertAlign val="subscript"/>
        <sz val="10"/>
        <color theme="1"/>
        <rFont val="Arial"/>
        <family val="2"/>
        <scheme val="minor"/>
      </rPr>
      <t>Ed</t>
    </r>
    <r>
      <rPr>
        <sz val="10"/>
        <color theme="1"/>
        <rFont val="Arial"/>
        <family val="2"/>
        <scheme val="minor"/>
      </rPr>
      <t xml:space="preserve"> &lt; N</t>
    </r>
    <r>
      <rPr>
        <vertAlign val="subscript"/>
        <sz val="10"/>
        <color theme="1"/>
        <rFont val="Arial"/>
        <family val="2"/>
        <scheme val="minor"/>
      </rPr>
      <t>Rd</t>
    </r>
  </si>
  <si>
    <r>
      <t>N</t>
    </r>
    <r>
      <rPr>
        <vertAlign val="subscript"/>
        <sz val="10"/>
        <color theme="1"/>
        <rFont val="Arial"/>
        <family val="2"/>
        <scheme val="minor"/>
      </rPr>
      <t>Ed</t>
    </r>
    <r>
      <rPr>
        <sz val="10"/>
        <color theme="1"/>
        <rFont val="Arial"/>
        <family val="2"/>
        <scheme val="minor"/>
      </rPr>
      <t xml:space="preserve"> &gt; N</t>
    </r>
    <r>
      <rPr>
        <vertAlign val="subscript"/>
        <sz val="10"/>
        <color theme="1"/>
        <rFont val="Arial"/>
        <family val="2"/>
        <scheme val="minor"/>
      </rPr>
      <t>Rd</t>
    </r>
  </si>
  <si>
    <t>Specific weight of concrete.</t>
  </si>
  <si>
    <t>rho_c =</t>
  </si>
  <si>
    <t>Checkwords</t>
  </si>
  <si>
    <t>Shown when the bearing depth of a wooden slab is to small.</t>
  </si>
  <si>
    <t>Line Loads</t>
  </si>
  <si>
    <t>Total Load</t>
  </si>
  <si>
    <r>
      <t>M</t>
    </r>
    <r>
      <rPr>
        <vertAlign val="subscript"/>
        <sz val="10"/>
        <color theme="1"/>
        <rFont val="Arial"/>
        <family val="2"/>
        <scheme val="minor"/>
      </rPr>
      <t>w,d_2</t>
    </r>
    <r>
      <rPr>
        <sz val="10"/>
        <color theme="1"/>
        <rFont val="Arial"/>
        <family val="2"/>
        <scheme val="minor"/>
      </rPr>
      <t xml:space="preserve"> =</t>
    </r>
  </si>
  <si>
    <r>
      <t>M</t>
    </r>
    <r>
      <rPr>
        <vertAlign val="subscript"/>
        <sz val="10"/>
        <color theme="1"/>
        <rFont val="Arial"/>
        <family val="2"/>
        <scheme val="minor"/>
      </rPr>
      <t>w,d_1</t>
    </r>
    <r>
      <rPr>
        <sz val="10"/>
        <color theme="1"/>
        <rFont val="Arial"/>
        <family val="2"/>
        <scheme val="minor"/>
      </rPr>
      <t xml:space="preserve"> =</t>
    </r>
  </si>
  <si>
    <r>
      <t>l</t>
    </r>
    <r>
      <rPr>
        <vertAlign val="subscript"/>
        <sz val="10"/>
        <color theme="1"/>
        <rFont val="Arial"/>
        <family val="2"/>
        <scheme val="minor"/>
      </rPr>
      <t>D</t>
    </r>
    <r>
      <rPr>
        <sz val="10"/>
        <color theme="1"/>
        <rFont val="Arial"/>
        <family val="2"/>
        <scheme val="minor"/>
      </rPr>
      <t xml:space="preserve"> =</t>
    </r>
  </si>
  <si>
    <t>SlabWooden</t>
  </si>
  <si>
    <t>Fixed vertical edges</t>
  </si>
  <si>
    <t>Shown when Isokorb is used with Slab 4.</t>
  </si>
  <si>
    <t>Shown when Isokorb is used with Slab 3.</t>
  </si>
  <si>
    <t>Stiffness factor bearing when on side is hinged.</t>
  </si>
  <si>
    <t>Checkword for Cantilever Slabs.</t>
  </si>
  <si>
    <t>Checkword for Wooden Beam Slabs.</t>
  </si>
  <si>
    <t>Checkword for fixed Slab bearings.</t>
  </si>
  <si>
    <t>Checkword for hinged Slab bearings.</t>
  </si>
  <si>
    <t>Checkword for not existing slabs.</t>
  </si>
  <si>
    <t>Checkword for Baseplates.</t>
  </si>
  <si>
    <t>Checkword for plane brick types.</t>
  </si>
  <si>
    <t>Fixed edges</t>
  </si>
  <si>
    <t>Slab rotation</t>
  </si>
  <si>
    <r>
      <t>F</t>
    </r>
    <r>
      <rPr>
        <b/>
        <vertAlign val="subscript"/>
        <sz val="10"/>
        <color theme="0" tint="-0.499984740745262"/>
        <rFont val="Arial"/>
        <family val="2"/>
      </rPr>
      <t>m</t>
    </r>
  </si>
  <si>
    <t>BrickList</t>
  </si>
  <si>
    <t>rD1.Knoten01</t>
  </si>
  <si>
    <t>rD1.Knoten02</t>
  </si>
  <si>
    <t>rD1.Knoten03</t>
  </si>
  <si>
    <t>rD1.Knoten04</t>
  </si>
  <si>
    <t>rD1.Knoten05</t>
  </si>
  <si>
    <t>bricklist number</t>
  </si>
  <si>
    <t>Projekt:</t>
  </si>
  <si>
    <t>Bauteil:</t>
  </si>
  <si>
    <t>Datum:</t>
  </si>
  <si>
    <t>Bearbeiter:</t>
  </si>
  <si>
    <t>1 Eingabe</t>
  </si>
  <si>
    <t>1.1 Geometrie</t>
  </si>
  <si>
    <t>1.1.1 Wände</t>
  </si>
  <si>
    <t>Wand 2 (zu bemessende Wand)</t>
  </si>
  <si>
    <t>Produktgruppe</t>
  </si>
  <si>
    <t>Produkt (bzw. Wanddicke bei Betonwand)</t>
  </si>
  <si>
    <t>Charakteristische Wanddruckfestigkeit</t>
  </si>
  <si>
    <t>Wanddicke</t>
  </si>
  <si>
    <t>Wandhöhe</t>
  </si>
  <si>
    <t>Wandlänge</t>
  </si>
  <si>
    <t>Angenommene Lagerung</t>
  </si>
  <si>
    <t>Anzahl der vertikal gehaltenen Ränder</t>
  </si>
  <si>
    <t>Vordefinierte geometr. Ausmitte am Wandkopf</t>
  </si>
  <si>
    <t>Vordefinierte geometr. Ausmitte am Wandfuß</t>
  </si>
  <si>
    <t>Abstand zw. Außenkante Wand und Deckenstirn am Wandkopf</t>
  </si>
  <si>
    <t>Abstand zw. Außenkante Wand und Deckenstirn am Wandfuß</t>
  </si>
  <si>
    <t>1.1.2 Decken</t>
  </si>
  <si>
    <t>Deckentyp</t>
  </si>
  <si>
    <t>Lichte Spannweite normal zur Wand</t>
  </si>
  <si>
    <t>Lichte Spannweite parallel zur Wand</t>
  </si>
  <si>
    <t>Einflussbreite</t>
  </si>
  <si>
    <t>Deckendicke</t>
  </si>
  <si>
    <t>Festigkeitsklasse Beton</t>
  </si>
  <si>
    <t>1.2.1 Flächenlasten</t>
  </si>
  <si>
    <t>Bemessungswert ständige Flächenlast Decke</t>
  </si>
  <si>
    <t>Bemessungswert veränderliche Flächenlast Decke</t>
  </si>
  <si>
    <t>Bemessungswert Gesamtflächenlast Decke</t>
  </si>
  <si>
    <t>1.2.2 Linienlasten</t>
  </si>
  <si>
    <t>Bemessungswert ständige Linienlast auf Decke</t>
  </si>
  <si>
    <t>Bemessungswert veränderliche Linienlast auf Decke</t>
  </si>
  <si>
    <t>Bemessungswert Gesamtlinienlast auf Decke</t>
  </si>
  <si>
    <t>Lage der Linienlast gemessen von Wandmitte</t>
  </si>
  <si>
    <t>1.2.3 Bemessungswerte der Normalkraft</t>
  </si>
  <si>
    <t>Normalkraft am Wandkopf</t>
  </si>
  <si>
    <t>Normalkraft in Wandmitte</t>
  </si>
  <si>
    <t>Normalkraft am Wandfuß</t>
  </si>
  <si>
    <t>Bemessungswert der Windlast</t>
  </si>
  <si>
    <t>2.1 Grenzzustand der Tragfähigkeit</t>
  </si>
  <si>
    <t>2.1.1 Biegemomente und Normalkräfte</t>
  </si>
  <si>
    <t>Bemessungswert der Normalkraft</t>
  </si>
  <si>
    <t>2.1.2 Ausmitten, Tragwiderstand und Ausnutzungsgrad</t>
  </si>
  <si>
    <t>Abminderungsfaktor</t>
  </si>
  <si>
    <t>Bemessungswert des vertikalen Tragwiderstands</t>
  </si>
  <si>
    <t>Ausnutzungsgrad</t>
  </si>
  <si>
    <t>2.2 Grafiken</t>
  </si>
  <si>
    <t>Schnitt</t>
  </si>
  <si>
    <t>Decke 1</t>
  </si>
  <si>
    <t>Decke 2</t>
  </si>
  <si>
    <t>Decke 3</t>
  </si>
  <si>
    <t>Decke 4</t>
  </si>
  <si>
    <t>Ständige Last</t>
  </si>
  <si>
    <t>Veränderliche Last</t>
  </si>
  <si>
    <t>Gesamtlast</t>
  </si>
  <si>
    <t>Wandkopf</t>
  </si>
  <si>
    <t>Wandmitte</t>
  </si>
  <si>
    <t>Wandfuß</t>
  </si>
  <si>
    <t>Interaktionsdiagramm</t>
  </si>
  <si>
    <t>Ansicht</t>
  </si>
  <si>
    <t>Biegemomente</t>
  </si>
  <si>
    <t>3 Ergebnisse im Detail</t>
  </si>
  <si>
    <t>3.1 Bauteile</t>
  </si>
  <si>
    <t>3.1.1 Wände</t>
  </si>
  <si>
    <t>Produkt</t>
  </si>
  <si>
    <t>3.1.1.1 Wanddruckfestigkeit</t>
  </si>
  <si>
    <t>Abminderung für Pfeilerquerschnitte kleiner 0,1 m²</t>
  </si>
  <si>
    <t>Teilsicherheitsbeiwert für das Material</t>
  </si>
  <si>
    <t>3.1.1.2 Geometrie</t>
  </si>
  <si>
    <t>Bruttoquerschnittsfläche</t>
  </si>
  <si>
    <t>Abminderungsfaktor Wandhöhe</t>
  </si>
  <si>
    <t>Knicklänge der Wand</t>
  </si>
  <si>
    <t>3.1.1.3 Weitere Kennwerte</t>
  </si>
  <si>
    <t>Flächenbezogene Masse der Wand (beidseitig verputzt)</t>
  </si>
  <si>
    <t>Steifigkeitsfaktor aufgrund angenommener Lagerung</t>
  </si>
  <si>
    <t>Trägheitsmoment am Wandkopf</t>
  </si>
  <si>
    <t>Trägheitsmoment am Wandfuß</t>
  </si>
  <si>
    <t>Steifigkeitsbeiwert</t>
  </si>
  <si>
    <t>Endkriechzahl</t>
  </si>
  <si>
    <t>Elastizitätsmodul</t>
  </si>
  <si>
    <t>Steifigkeit der Wand am Wandkopf</t>
  </si>
  <si>
    <t>Steifigkeit der Wand am Wandfuß</t>
  </si>
  <si>
    <t>Schlankheit</t>
  </si>
  <si>
    <t>3.1.2 Decken</t>
  </si>
  <si>
    <t>Steifigkeitsfaktor aufgrund Deckentyp</t>
  </si>
  <si>
    <t>Trägheitsmoment</t>
  </si>
  <si>
    <t>Elastizitätsmodul Beton</t>
  </si>
  <si>
    <t>Steifigkeit der Decke</t>
  </si>
  <si>
    <t>Maßgebende Spannweite der Decke</t>
  </si>
  <si>
    <t>3.2 Einwirkungen</t>
  </si>
  <si>
    <t>3.2.1 Flächenlasten</t>
  </si>
  <si>
    <t>3.2.2 Linienlasten</t>
  </si>
  <si>
    <t>3.2.3 Bemessungswerte der Normalkraft</t>
  </si>
  <si>
    <t>3.2.4 Windlast</t>
  </si>
  <si>
    <t>3.3 Berechnung der Biegemomente</t>
  </si>
  <si>
    <t>3.3.1 Wandkopf</t>
  </si>
  <si>
    <t>Vereinfachtes Rahmenmodell:</t>
  </si>
  <si>
    <t>Momentenabminderungsfaktor</t>
  </si>
  <si>
    <t>Moment am Wandkopf gem. Anhang C (1), (2), (3)</t>
  </si>
  <si>
    <t>Maßgebendes Moment</t>
  </si>
  <si>
    <t>3.3.2 Wandfuß</t>
  </si>
  <si>
    <t>Moment am Wandfuß gem. Anhang C (1), (2), (3)</t>
  </si>
  <si>
    <t>3.3.3 Wandmitte</t>
  </si>
  <si>
    <t>Moment in Wandmitte</t>
  </si>
  <si>
    <t>3.3.4 Biegemoment durch Windlast</t>
  </si>
  <si>
    <t>Biegemoment am Wandkopf</t>
  </si>
  <si>
    <t>Biegemoment in Wandmitte</t>
  </si>
  <si>
    <t>Biegemoment am Wandfuß</t>
  </si>
  <si>
    <t>3.4 Ausmitten, Tragwiderstand und Ausnutzungsgrad</t>
  </si>
  <si>
    <t>3.4.1 Wandkopf</t>
  </si>
  <si>
    <t>Ausmitte durch Deckenverdrehung</t>
  </si>
  <si>
    <t>Ausmitte durch Windlast</t>
  </si>
  <si>
    <t>Vordefinierte geometrische Ausmitte</t>
  </si>
  <si>
    <t>Ungewollte Ausmitte (Anfangsausmitte)</t>
  </si>
  <si>
    <t>3.4.2 Wandmitte</t>
  </si>
  <si>
    <t>Versatz der Systemlinien</t>
  </si>
  <si>
    <t>Ausmitte infolge Lasten</t>
  </si>
  <si>
    <t>Ausmitte infolge Kriechens</t>
  </si>
  <si>
    <t>Gesamte Ausmitte (≥ 0,05 t)</t>
  </si>
  <si>
    <t>3.4.3 Wandfuß</t>
  </si>
  <si>
    <t>Plot 2 - Ansicht</t>
  </si>
  <si>
    <t>Plot 1 - Schnitt</t>
  </si>
  <si>
    <t>Fundament</t>
  </si>
  <si>
    <t>Wand 1</t>
  </si>
  <si>
    <t>Wand 2</t>
  </si>
  <si>
    <t>Wand 3</t>
  </si>
  <si>
    <t>r2</t>
  </si>
  <si>
    <t>keine vertikal gehaltene Ränder</t>
  </si>
  <si>
    <t>1 vertikal gehaltener Rand</t>
  </si>
  <si>
    <t>2 vertikal gehaltene Ränder</t>
  </si>
  <si>
    <t>einachsig gespannte Stahlbetondecke</t>
  </si>
  <si>
    <t>Holzbalkendecke</t>
  </si>
  <si>
    <t>eingespannt</t>
  </si>
  <si>
    <t>zweiachsig gespannte Stahlbetondecke</t>
  </si>
  <si>
    <t>nicht vorhanden</t>
  </si>
  <si>
    <t>gelenkig</t>
  </si>
  <si>
    <t>Bodenplatte</t>
  </si>
  <si>
    <t>Auskragung</t>
  </si>
  <si>
    <t>Betonwand</t>
  </si>
  <si>
    <t>Streifenfundament</t>
  </si>
  <si>
    <t>keine Eingabe erforderlich</t>
  </si>
  <si>
    <t>kein Mörtel erforderlich</t>
  </si>
  <si>
    <t>Durchgehende Decke, kein Abstand!</t>
  </si>
  <si>
    <t>Auskragung Decke 3 mit Iso-Korb</t>
  </si>
  <si>
    <t>Auskragung Decke 4 mit Iso-Korb</t>
  </si>
  <si>
    <t>Schlankheit &gt;</t>
  </si>
  <si>
    <t>Teilsicherheitsbeiwert für Eigengewicht Wand =</t>
  </si>
  <si>
    <r>
      <t xml:space="preserve">0,05 </t>
    </r>
    <r>
      <rPr>
        <sz val="10"/>
        <color theme="1"/>
        <rFont val="Calibri"/>
        <family val="2"/>
      </rPr>
      <t>·</t>
    </r>
    <r>
      <rPr>
        <sz val="10"/>
        <color theme="1"/>
        <rFont val="Arial"/>
        <family val="2"/>
      </rPr>
      <t xml:space="preserve"> t maßgebend</t>
    </r>
  </si>
  <si>
    <t>Auflagertiefe &lt; 85 mm!</t>
  </si>
  <si>
    <r>
      <t>e</t>
    </r>
    <r>
      <rPr>
        <vertAlign val="subscript"/>
        <sz val="10"/>
        <color theme="1"/>
        <rFont val="Arial"/>
        <family val="2"/>
        <scheme val="minor"/>
      </rPr>
      <t>geo,Kopf</t>
    </r>
    <r>
      <rPr>
        <sz val="10"/>
        <color theme="1"/>
        <rFont val="Arial"/>
        <family val="2"/>
        <scheme val="minor"/>
      </rPr>
      <t xml:space="preserve"> =</t>
    </r>
  </si>
  <si>
    <r>
      <t>e</t>
    </r>
    <r>
      <rPr>
        <vertAlign val="subscript"/>
        <sz val="10"/>
        <color theme="1"/>
        <rFont val="Arial"/>
        <family val="2"/>
        <scheme val="minor"/>
      </rPr>
      <t>geo,Fuß</t>
    </r>
    <r>
      <rPr>
        <sz val="10"/>
        <color theme="1"/>
        <rFont val="Arial"/>
        <family val="2"/>
        <scheme val="minor"/>
      </rPr>
      <t xml:space="preserve"> =</t>
    </r>
  </si>
  <si>
    <r>
      <t>a</t>
    </r>
    <r>
      <rPr>
        <vertAlign val="subscript"/>
        <sz val="10"/>
        <color theme="1"/>
        <rFont val="Arial"/>
        <family val="2"/>
        <scheme val="minor"/>
      </rPr>
      <t>Kopf</t>
    </r>
    <r>
      <rPr>
        <sz val="10"/>
        <color theme="1"/>
        <rFont val="Arial"/>
        <family val="2"/>
        <scheme val="minor"/>
      </rPr>
      <t xml:space="preserve"> = </t>
    </r>
  </si>
  <si>
    <r>
      <t>a</t>
    </r>
    <r>
      <rPr>
        <vertAlign val="subscript"/>
        <sz val="10"/>
        <color theme="1"/>
        <rFont val="Arial"/>
        <family val="2"/>
        <scheme val="minor"/>
      </rPr>
      <t>Fuß</t>
    </r>
    <r>
      <rPr>
        <sz val="10"/>
        <color theme="1"/>
        <rFont val="Arial"/>
        <family val="2"/>
        <scheme val="minor"/>
      </rPr>
      <t xml:space="preserve"> =</t>
    </r>
  </si>
  <si>
    <r>
      <t>I</t>
    </r>
    <r>
      <rPr>
        <vertAlign val="subscript"/>
        <sz val="10"/>
        <color theme="1"/>
        <rFont val="Arial"/>
        <family val="2"/>
        <scheme val="minor"/>
      </rPr>
      <t>Kopf</t>
    </r>
    <r>
      <rPr>
        <sz val="10"/>
        <color theme="1"/>
        <rFont val="Arial"/>
        <family val="2"/>
        <scheme val="minor"/>
      </rPr>
      <t xml:space="preserve"> =</t>
    </r>
  </si>
  <si>
    <r>
      <t>I</t>
    </r>
    <r>
      <rPr>
        <vertAlign val="subscript"/>
        <sz val="10"/>
        <color theme="1"/>
        <rFont val="Arial"/>
        <family val="2"/>
        <scheme val="minor"/>
      </rPr>
      <t>Fuß</t>
    </r>
    <r>
      <rPr>
        <sz val="10"/>
        <color theme="1"/>
        <rFont val="Arial"/>
        <family val="2"/>
        <scheme val="minor"/>
      </rPr>
      <t xml:space="preserve"> =</t>
    </r>
  </si>
  <si>
    <r>
      <t>c</t>
    </r>
    <r>
      <rPr>
        <vertAlign val="subscript"/>
        <sz val="10"/>
        <color theme="1"/>
        <rFont val="Arial"/>
        <family val="2"/>
        <scheme val="minor"/>
      </rPr>
      <t>Kopf</t>
    </r>
    <r>
      <rPr>
        <sz val="10"/>
        <color theme="1"/>
        <rFont val="Arial"/>
        <family val="2"/>
        <scheme val="minor"/>
      </rPr>
      <t xml:space="preserve"> =</t>
    </r>
  </si>
  <si>
    <r>
      <t>c</t>
    </r>
    <r>
      <rPr>
        <vertAlign val="subscript"/>
        <sz val="10"/>
        <color theme="1"/>
        <rFont val="Arial"/>
        <family val="2"/>
        <scheme val="minor"/>
      </rPr>
      <t>Fuß</t>
    </r>
    <r>
      <rPr>
        <sz val="10"/>
        <color theme="1"/>
        <rFont val="Arial"/>
        <family val="2"/>
        <scheme val="minor"/>
      </rPr>
      <t xml:space="preserve"> =</t>
    </r>
  </si>
  <si>
    <t>Version 1.0   |  09/2016   |   10-00500</t>
  </si>
  <si>
    <t>!!!  A  C  H  T  U  N  G  !!!</t>
  </si>
  <si>
    <t>Für die Richtigkeit der verwendeten Daten und Ergebnisse
kann von Wienerberger keinerlei Haftung übernommen werden!</t>
  </si>
  <si>
    <t>WARNHINWEIS:
Für die Richtigkeit der verwendeten Daten und Ergebnisse
kann von Wienerberger keinerlei Haftung übernommen werden!</t>
  </si>
  <si>
    <t>Shown when total eccentricity is calculated according Annex C(5)</t>
  </si>
  <si>
    <r>
      <t>e</t>
    </r>
    <r>
      <rPr>
        <vertAlign val="subscript"/>
        <sz val="10"/>
        <rFont val="Arial"/>
        <family val="2"/>
        <scheme val="minor"/>
      </rPr>
      <t>1</t>
    </r>
    <r>
      <rPr>
        <sz val="10"/>
        <rFont val="Arial"/>
        <family val="2"/>
        <scheme val="minor"/>
      </rPr>
      <t xml:space="preserve"> =</t>
    </r>
  </si>
  <si>
    <r>
      <rPr>
        <sz val="10"/>
        <rFont val="Symbol"/>
        <family val="1"/>
        <charset val="2"/>
      </rPr>
      <t>D</t>
    </r>
    <r>
      <rPr>
        <sz val="10"/>
        <rFont val="Arial"/>
        <family val="2"/>
        <scheme val="minor"/>
      </rPr>
      <t>e</t>
    </r>
    <r>
      <rPr>
        <vertAlign val="subscript"/>
        <sz val="10"/>
        <rFont val="Arial"/>
        <family val="2"/>
        <scheme val="minor"/>
      </rPr>
      <t>1,C(5)</t>
    </r>
    <r>
      <rPr>
        <sz val="10"/>
        <rFont val="Arial"/>
        <family val="2"/>
        <scheme val="minor"/>
      </rPr>
      <t xml:space="preserve"> =</t>
    </r>
  </si>
  <si>
    <t>Exzentrizitätsversatz nach Anhang C(5)</t>
  </si>
  <si>
    <r>
      <rPr>
        <sz val="10"/>
        <rFont val="Symbol"/>
        <family val="1"/>
        <charset val="2"/>
      </rPr>
      <t>D</t>
    </r>
    <r>
      <rPr>
        <sz val="10"/>
        <rFont val="Arial"/>
        <family val="2"/>
        <scheme val="minor"/>
      </rPr>
      <t>e</t>
    </r>
    <r>
      <rPr>
        <vertAlign val="subscript"/>
        <sz val="10"/>
        <rFont val="Arial"/>
        <family val="2"/>
        <scheme val="minor"/>
      </rPr>
      <t>m,C(5)</t>
    </r>
    <r>
      <rPr>
        <sz val="10"/>
        <rFont val="Arial"/>
        <family val="2"/>
        <scheme val="minor"/>
      </rPr>
      <t xml:space="preserve"> =</t>
    </r>
  </si>
  <si>
    <r>
      <rPr>
        <sz val="10"/>
        <rFont val="Symbol"/>
        <family val="1"/>
        <charset val="2"/>
      </rPr>
      <t>D</t>
    </r>
    <r>
      <rPr>
        <sz val="10"/>
        <rFont val="Arial"/>
        <family val="2"/>
        <scheme val="minor"/>
      </rPr>
      <t>e</t>
    </r>
    <r>
      <rPr>
        <vertAlign val="subscript"/>
        <sz val="10"/>
        <rFont val="Arial"/>
        <family val="2"/>
        <scheme val="minor"/>
      </rPr>
      <t>2,C(5)</t>
    </r>
    <r>
      <rPr>
        <sz val="10"/>
        <rFont val="Arial"/>
        <family val="2"/>
        <scheme val="minor"/>
      </rPr>
      <t xml:space="preserve"> =</t>
    </r>
  </si>
  <si>
    <t>Shown when wooden slab is chosen.</t>
  </si>
  <si>
    <t>Holzbalkendecke → Manuelle Eingabe e_geo erf.!</t>
  </si>
  <si>
    <t>Bemessungssituation</t>
  </si>
  <si>
    <t>Ständig/ vorübergehend</t>
  </si>
  <si>
    <t>Außergewöhnlich</t>
  </si>
  <si>
    <t>selection design situation</t>
  </si>
  <si>
    <r>
      <rPr>
        <sz val="10"/>
        <color theme="1"/>
        <rFont val="Calibri"/>
        <family val="2"/>
      </rPr>
      <t>ζ</t>
    </r>
    <r>
      <rPr>
        <sz val="10"/>
        <color theme="1"/>
        <rFont val="Arial"/>
        <family val="2"/>
      </rPr>
      <t xml:space="preserve"> =</t>
    </r>
  </si>
  <si>
    <t>Factor for long term impact (activated in every calculation!)</t>
  </si>
  <si>
    <t>Abminderung für Langzeiteinwirkungen</t>
  </si>
  <si>
    <t>ζ =</t>
  </si>
  <si>
    <t>Stiffness Factor Masonry for Top and Bottom</t>
  </si>
  <si>
    <t>Reduction Parameter for masonry strength if wall is smaller than value above</t>
  </si>
  <si>
    <t>Überbindemaß</t>
  </si>
  <si>
    <t>lol/hu ≥ 0,4</t>
  </si>
  <si>
    <t>0,2 ≤ lol/hu &lt; 0,4</t>
  </si>
  <si>
    <t>selection overlapping size</t>
  </si>
  <si>
    <t>Steingeometrie</t>
  </si>
  <si>
    <t>3-seitige Lagerung</t>
  </si>
  <si>
    <t>4-seitige Lagerung</t>
  </si>
  <si>
    <t>Steinabmessungen</t>
  </si>
  <si>
    <r>
      <t>h</t>
    </r>
    <r>
      <rPr>
        <vertAlign val="subscript"/>
        <sz val="10"/>
        <color theme="1"/>
        <rFont val="Arial"/>
        <family val="2"/>
        <scheme val="minor"/>
      </rPr>
      <t>u</t>
    </r>
    <r>
      <rPr>
        <sz val="10"/>
        <color theme="1"/>
        <rFont val="Arial"/>
        <family val="2"/>
        <scheme val="minor"/>
      </rPr>
      <t xml:space="preserve"> =</t>
    </r>
  </si>
  <si>
    <r>
      <t>l</t>
    </r>
    <r>
      <rPr>
        <vertAlign val="subscript"/>
        <sz val="10"/>
        <color theme="1"/>
        <rFont val="Arial"/>
        <family val="2"/>
        <scheme val="minor"/>
      </rPr>
      <t>u</t>
    </r>
    <r>
      <rPr>
        <sz val="10"/>
        <color theme="1"/>
        <rFont val="Arial"/>
        <family val="2"/>
        <scheme val="minor"/>
      </rPr>
      <t xml:space="preserve"> =</t>
    </r>
  </si>
  <si>
    <t>EFH/DH/RH Perlite verfüllt</t>
  </si>
  <si>
    <t>EFH/DH/RH Mineralwolle verfüllt</t>
  </si>
  <si>
    <t>EHF/DH/RH unverfüllt</t>
  </si>
  <si>
    <t>MFH/Objektbau Perlite verfüllt</t>
  </si>
  <si>
    <t>rD1.Knoten06</t>
  </si>
  <si>
    <t>MFH/Objektbau Mineralwolle verfüllt</t>
  </si>
  <si>
    <t>Innenwände/Hintermauerung Außenwände</t>
  </si>
  <si>
    <t>EFH/DH/RH unverfüllt</t>
  </si>
  <si>
    <t>Zulassungs-nummer</t>
  </si>
  <si>
    <t>Zulassung gültig bis</t>
  </si>
  <si>
    <t>Wanddicke t</t>
  </si>
  <si>
    <t>Steinlänge lu</t>
  </si>
  <si>
    <t>Steinhöhe hu</t>
  </si>
  <si>
    <t>Rohdichte-
klasse</t>
  </si>
  <si>
    <t>Druckfestig-keitsklasse</t>
  </si>
  <si>
    <t>Anfangs-scherfestig-keit</t>
  </si>
  <si>
    <t>Grenzwert d. Schubfestig-keit</t>
  </si>
  <si>
    <t>spez. Gewicht unverputzt</t>
  </si>
  <si>
    <t>spez. Gewicht Verputz</t>
  </si>
  <si>
    <t>spez. Gewicht verputzt</t>
  </si>
  <si>
    <t>[mm]</t>
  </si>
  <si>
    <t>T7-36,5-P</t>
  </si>
  <si>
    <t>T7-42,5-P</t>
  </si>
  <si>
    <t>T7-49,0-P</t>
  </si>
  <si>
    <t>T8-30,0-P</t>
  </si>
  <si>
    <t>T8-36,5-P</t>
  </si>
  <si>
    <t>T8-42,5-P</t>
  </si>
  <si>
    <t>S8-36,5-P</t>
  </si>
  <si>
    <t>S8-42,5-P</t>
  </si>
  <si>
    <t>S8-49,0-P</t>
  </si>
  <si>
    <t>S8-36,5-MW</t>
  </si>
  <si>
    <t>S8-42,5-MW</t>
  </si>
  <si>
    <t>S8-49,0-MW</t>
  </si>
  <si>
    <t>S9-36,5-P</t>
  </si>
  <si>
    <t>S9-42,5-P</t>
  </si>
  <si>
    <t>S9-36,5-MW</t>
  </si>
  <si>
    <t>S9-42,5-MW</t>
  </si>
  <si>
    <t>S10-30,0-MW</t>
  </si>
  <si>
    <t>S10-36,5-MW</t>
  </si>
  <si>
    <t>S10-42,5-MW</t>
  </si>
  <si>
    <t>Plan-T8-36,5</t>
  </si>
  <si>
    <t>Plan-T8-42,5</t>
  </si>
  <si>
    <t>Plan-T8-50,0</t>
  </si>
  <si>
    <t>Plan-T9-30,0</t>
  </si>
  <si>
    <t>Plan-T9-36,5</t>
  </si>
  <si>
    <t>Plan-T9-42,5</t>
  </si>
  <si>
    <t>Plan-T10-30,0</t>
  </si>
  <si>
    <t>Plan-T10-36,5</t>
  </si>
  <si>
    <t>Plan-T12-24,0 L</t>
  </si>
  <si>
    <t>Plan-T12-36,5</t>
  </si>
  <si>
    <t>Plan-T14-24,0 L</t>
  </si>
  <si>
    <t>Plan-T14-30,0</t>
  </si>
  <si>
    <t>Plan-T14-36,5</t>
  </si>
  <si>
    <t>Plan-T18-17,5</t>
  </si>
  <si>
    <t>Plan-T18-24,0</t>
  </si>
  <si>
    <t>ZWP-Plan-T 11,5</t>
  </si>
  <si>
    <t>ZWP-Plan-T 11,5-1,2</t>
  </si>
  <si>
    <t>Plan-T 17,5-1,2 EB</t>
  </si>
  <si>
    <t>Plan-T 24,0-1,2 EB</t>
  </si>
  <si>
    <t>ZWP-Plan-T 11,5-1,4</t>
  </si>
  <si>
    <t>Plan-T 17,5-1,4 EB</t>
  </si>
  <si>
    <t>Plan-T 24,0-1,4 EB</t>
  </si>
  <si>
    <t>PFZ-T 17,5</t>
  </si>
  <si>
    <t>PFZ-T 24,0</t>
  </si>
  <si>
    <t>PFZ-T 30,0</t>
  </si>
  <si>
    <t>Druckfestigkeit</t>
  </si>
  <si>
    <t>Festigkeitsklasse Beton (nur bei Betonwand)</t>
  </si>
  <si>
    <t>Druckfestigkeitsklasse</t>
  </si>
  <si>
    <t>Rohdichteklasse</t>
  </si>
  <si>
    <r>
      <t>h</t>
    </r>
    <r>
      <rPr>
        <vertAlign val="subscript"/>
        <sz val="10"/>
        <color theme="1"/>
        <rFont val="Arial"/>
        <family val="2"/>
        <scheme val="minor"/>
      </rPr>
      <t>u</t>
    </r>
    <r>
      <rPr>
        <sz val="10"/>
        <color theme="1"/>
        <rFont val="Arial"/>
        <family val="2"/>
        <scheme val="minor"/>
      </rPr>
      <t>/l</t>
    </r>
    <r>
      <rPr>
        <vertAlign val="subscript"/>
        <sz val="10"/>
        <color theme="1"/>
        <rFont val="Arial"/>
        <family val="2"/>
        <scheme val="minor"/>
      </rPr>
      <t>u</t>
    </r>
    <r>
      <rPr>
        <sz val="10"/>
        <color theme="1"/>
        <rFont val="Arial"/>
        <family val="2"/>
        <scheme val="minor"/>
      </rPr>
      <t xml:space="preserve"> =</t>
    </r>
  </si>
  <si>
    <t>rL5.Knoten01</t>
  </si>
  <si>
    <t>rL5.Knoten02</t>
  </si>
  <si>
    <r>
      <rPr>
        <b/>
        <sz val="24"/>
        <color rgb="FFB30000"/>
        <rFont val="Arial"/>
        <family val="2"/>
      </rPr>
      <t>Wienerberger N</t>
    </r>
    <r>
      <rPr>
        <b/>
        <vertAlign val="subscript"/>
        <sz val="24"/>
        <color rgb="FFB30000"/>
        <rFont val="Arial"/>
        <family val="2"/>
      </rPr>
      <t>Rd</t>
    </r>
    <r>
      <rPr>
        <b/>
        <sz val="24"/>
        <color rgb="FFB30000"/>
        <rFont val="Arial"/>
        <family val="2"/>
      </rPr>
      <t>-Pro-Tool</t>
    </r>
    <r>
      <rPr>
        <b/>
        <sz val="20"/>
        <color rgb="FFB30000"/>
        <rFont val="Arial"/>
        <family val="2"/>
      </rPr>
      <t xml:space="preserve">
</t>
    </r>
    <r>
      <rPr>
        <b/>
        <sz val="14"/>
        <color rgb="FFB30000"/>
        <rFont val="Arial"/>
        <family val="2"/>
      </rPr>
      <t>Mauerwerksbemessung nach DIN EN 1996-1-1 und 1996-1-1/NA</t>
    </r>
  </si>
  <si>
    <t>2 Zusammenfassung der Ergebnisse</t>
  </si>
  <si>
    <t>W2</t>
  </si>
  <si>
    <t>D1</t>
  </si>
  <si>
    <t>D2</t>
  </si>
  <si>
    <t>Gesamtlast (pro Meter Wand)</t>
  </si>
  <si>
    <t>Kopf</t>
  </si>
  <si>
    <t>Mitte</t>
  </si>
  <si>
    <t>Fuss</t>
  </si>
  <si>
    <t>-1/16; +1/16; -1/16</t>
  </si>
  <si>
    <t xml:space="preserve">    0  ; +1/12; -1/12</t>
  </si>
  <si>
    <t xml:space="preserve">    0  ; +1/16;  -1/8</t>
  </si>
  <si>
    <t xml:space="preserve">    0  ;  +1/8;     0</t>
  </si>
  <si>
    <t>Planmäßiges Überbindemaß</t>
  </si>
  <si>
    <t>selection momentsize wind</t>
  </si>
  <si>
    <t>(Wandkopf; Wandmitte; Wandfuß)</t>
  </si>
  <si>
    <t>Höhe des ersten Geschosses</t>
  </si>
  <si>
    <t>Wand 1 (im Geschoss darunter)</t>
  </si>
  <si>
    <t>Wand 3 (im Geschoss darüber)</t>
  </si>
  <si>
    <t>Ausnutzung Brandfall</t>
  </si>
  <si>
    <r>
      <t>h</t>
    </r>
    <r>
      <rPr>
        <b/>
        <vertAlign val="subscript"/>
        <sz val="10"/>
        <color theme="1"/>
        <rFont val="Arial"/>
        <family val="2"/>
        <scheme val="minor"/>
      </rPr>
      <t>fi</t>
    </r>
    <r>
      <rPr>
        <b/>
        <sz val="10"/>
        <color theme="1"/>
        <rFont val="Symbol"/>
        <family val="1"/>
        <charset val="2"/>
      </rPr>
      <t xml:space="preserve"> =</t>
    </r>
  </si>
  <si>
    <r>
      <rPr>
        <sz val="10"/>
        <color theme="1"/>
        <rFont val="Calibri"/>
        <family val="2"/>
      </rPr>
      <t>α</t>
    </r>
    <r>
      <rPr>
        <vertAlign val="subscript"/>
        <sz val="10"/>
        <color theme="1"/>
        <rFont val="Arial"/>
        <family val="2"/>
        <scheme val="minor"/>
      </rPr>
      <t>fi</t>
    </r>
    <r>
      <rPr>
        <sz val="10"/>
        <color theme="1"/>
        <rFont val="Symbol"/>
        <family val="1"/>
        <charset val="2"/>
      </rPr>
      <t xml:space="preserve"> =</t>
    </r>
  </si>
  <si>
    <t>Auflagertiefe am Wandkopf</t>
  </si>
  <si>
    <t>Auflagertiefe am Wandfuß</t>
  </si>
  <si>
    <t>Auflagertiefe &lt; 100 mm!</t>
  </si>
  <si>
    <t>Shown when bearing depth is to small.</t>
  </si>
  <si>
    <t>Auflagertiefe &lt; t/3 + 40 mm</t>
  </si>
  <si>
    <t>Angenommene Lagerung Wandkopf</t>
  </si>
  <si>
    <t>Angenommene Lagerung Wandfuß</t>
  </si>
  <si>
    <r>
      <t>N</t>
    </r>
    <r>
      <rPr>
        <vertAlign val="subscript"/>
        <sz val="10"/>
        <color theme="1"/>
        <rFont val="Arial"/>
        <family val="2"/>
        <scheme val="minor"/>
      </rPr>
      <t>Ed</t>
    </r>
    <r>
      <rPr>
        <sz val="10"/>
        <color theme="1"/>
        <rFont val="Arial"/>
        <family val="2"/>
        <scheme val="minor"/>
      </rPr>
      <t xml:space="preserve"> &lt; 0,333 · a · fd </t>
    </r>
    <r>
      <rPr>
        <sz val="10"/>
        <color theme="1"/>
        <rFont val="Arial"/>
        <family val="2"/>
      </rPr>
      <t>→</t>
    </r>
    <r>
      <rPr>
        <sz val="10"/>
        <color theme="1"/>
        <rFont val="Arial"/>
        <family val="2"/>
        <scheme val="minor"/>
      </rPr>
      <t xml:space="preserve"> e</t>
    </r>
    <r>
      <rPr>
        <vertAlign val="subscript"/>
        <sz val="10"/>
        <color theme="1"/>
        <rFont val="Arial"/>
        <family val="2"/>
        <scheme val="minor"/>
      </rPr>
      <t>i</t>
    </r>
    <r>
      <rPr>
        <sz val="10"/>
        <color theme="1"/>
        <rFont val="Arial"/>
        <family val="2"/>
        <scheme val="minor"/>
      </rPr>
      <t xml:space="preserve"> berechnet nach Anhang C(5)</t>
    </r>
  </si>
  <si>
    <t>Partial material safety factor dead load</t>
  </si>
  <si>
    <t>Günstig</t>
  </si>
  <si>
    <t>Ungünstig</t>
  </si>
  <si>
    <t>selection safety dead load</t>
  </si>
  <si>
    <t>selection wall bearing top</t>
  </si>
  <si>
    <t>selection wall bearing bottom</t>
  </si>
  <si>
    <t>Steifigkeitsfaktor aufgrund angenommener Lagerung Wandkopf</t>
  </si>
  <si>
    <t>Steifigkeitsfaktor aufgrund angenommener Lagerung Wandfuß</t>
  </si>
  <si>
    <r>
      <t>n</t>
    </r>
    <r>
      <rPr>
        <vertAlign val="subscript"/>
        <sz val="10"/>
        <color theme="1"/>
        <rFont val="Arial"/>
        <family val="2"/>
        <scheme val="minor"/>
      </rPr>
      <t>Kopf</t>
    </r>
    <r>
      <rPr>
        <sz val="10"/>
        <color theme="1"/>
        <rFont val="Arial"/>
        <family val="2"/>
        <scheme val="minor"/>
      </rPr>
      <t xml:space="preserve"> =</t>
    </r>
  </si>
  <si>
    <r>
      <t>n</t>
    </r>
    <r>
      <rPr>
        <vertAlign val="subscript"/>
        <sz val="10"/>
        <color theme="1"/>
        <rFont val="Arial"/>
        <family val="2"/>
        <scheme val="minor"/>
      </rPr>
      <t>Fuß</t>
    </r>
    <r>
      <rPr>
        <sz val="10"/>
        <color theme="1"/>
        <rFont val="Arial"/>
        <family val="2"/>
        <scheme val="minor"/>
      </rPr>
      <t xml:space="preserve"> =</t>
    </r>
  </si>
  <si>
    <t>Lochanteil</t>
  </si>
  <si>
    <t>Maximum Factor for using formula in reducing strength</t>
  </si>
  <si>
    <t>e/t</t>
  </si>
  <si>
    <t>rho_2</t>
  </si>
  <si>
    <t>Wall Slenderness limitation for calculation of kappa</t>
  </si>
  <si>
    <t>Widerstandsklasse</t>
  </si>
  <si>
    <t>Brandwand</t>
  </si>
  <si>
    <t>Spalte in Ziegeldaten</t>
  </si>
  <si>
    <t>selection fire resistance class</t>
  </si>
  <si>
    <t>Shown when wall is not suitable for chosen fire resistance class.</t>
  </si>
  <si>
    <t>REI90</t>
  </si>
  <si>
    <t>REI60</t>
  </si>
  <si>
    <t>REI30</t>
  </si>
  <si>
    <t>XL Toolbox Settings</t>
  </si>
  <si>
    <t>export_preset</t>
  </si>
  <si>
    <t>export_path</t>
  </si>
  <si>
    <r>
      <rPr>
        <sz val="10"/>
        <color theme="1"/>
        <rFont val="Calibri"/>
        <family val="2"/>
      </rPr>
      <t>α</t>
    </r>
    <r>
      <rPr>
        <vertAlign val="subscript"/>
        <sz val="10"/>
        <color theme="1"/>
        <rFont val="Arial"/>
        <family val="2"/>
        <scheme val="minor"/>
      </rPr>
      <t>fi,vorh</t>
    </r>
    <r>
      <rPr>
        <sz val="10"/>
        <color theme="1"/>
        <rFont val="Symbol"/>
        <family val="1"/>
        <charset val="2"/>
      </rPr>
      <t xml:space="preserve"> =</t>
    </r>
  </si>
  <si>
    <t>Zulässiger Ausnutzungsfaktor im Brandfall</t>
  </si>
  <si>
    <t>Vorhandener Ausnutzungsfaktor Brandfall</t>
  </si>
  <si>
    <t>Vorhandener Ausnutzungsfaktor im Brandfall</t>
  </si>
  <si>
    <t>Beiwert aus Schlankheit und Ausmitte</t>
  </si>
  <si>
    <t>Ausnutzungsgrad Brandfall</t>
  </si>
  <si>
    <t>Für die gewählte Feuerwiderstandsklasse nicht geeignet!</t>
  </si>
  <si>
    <t>entspricht</t>
  </si>
  <si>
    <r>
      <t>h</t>
    </r>
    <r>
      <rPr>
        <b/>
        <vertAlign val="subscript"/>
        <sz val="10"/>
        <color theme="1"/>
        <rFont val="Arial"/>
        <family val="2"/>
        <scheme val="minor"/>
      </rPr>
      <t>1</t>
    </r>
    <r>
      <rPr>
        <b/>
        <sz val="10"/>
        <color theme="1"/>
        <rFont val="Symbol"/>
        <family val="1"/>
        <charset val="2"/>
      </rPr>
      <t xml:space="preserve"> =</t>
    </r>
  </si>
  <si>
    <r>
      <rPr>
        <sz val="10"/>
        <rFont val="Calibri"/>
        <family val="2"/>
      </rPr>
      <t>κ</t>
    </r>
    <r>
      <rPr>
        <vertAlign val="subscript"/>
        <sz val="10"/>
        <rFont val="Arial"/>
        <family val="2"/>
        <scheme val="minor"/>
      </rPr>
      <t>1</t>
    </r>
    <r>
      <rPr>
        <sz val="10"/>
        <rFont val="Symbol"/>
        <family val="1"/>
        <charset val="2"/>
      </rPr>
      <t xml:space="preserve"> =</t>
    </r>
  </si>
  <si>
    <r>
      <rPr>
        <sz val="10"/>
        <color theme="1"/>
        <rFont val="Calibri"/>
        <family val="2"/>
      </rPr>
      <t>α</t>
    </r>
    <r>
      <rPr>
        <vertAlign val="subscript"/>
        <sz val="10"/>
        <color theme="1"/>
        <rFont val="Arial"/>
        <family val="2"/>
        <scheme val="minor"/>
      </rPr>
      <t>f1,vorh</t>
    </r>
    <r>
      <rPr>
        <sz val="10"/>
        <color theme="1"/>
        <rFont val="Symbol"/>
        <family val="1"/>
        <charset val="2"/>
      </rPr>
      <t xml:space="preserve"> =</t>
    </r>
  </si>
  <si>
    <r>
      <rPr>
        <sz val="10"/>
        <color theme="1"/>
        <rFont val="Calibri"/>
        <family val="2"/>
      </rPr>
      <t>α</t>
    </r>
    <r>
      <rPr>
        <vertAlign val="subscript"/>
        <sz val="10"/>
        <color theme="1"/>
        <rFont val="Arial"/>
        <family val="2"/>
        <scheme val="minor"/>
      </rPr>
      <t>f1</t>
    </r>
    <r>
      <rPr>
        <sz val="10"/>
        <color theme="1"/>
        <rFont val="Symbol"/>
        <family val="1"/>
        <charset val="2"/>
      </rPr>
      <t xml:space="preserve"> =</t>
    </r>
  </si>
  <si>
    <r>
      <t>h</t>
    </r>
    <r>
      <rPr>
        <b/>
        <vertAlign val="subscript"/>
        <sz val="10"/>
        <rFont val="Arial"/>
        <family val="2"/>
        <scheme val="minor"/>
      </rPr>
      <t>f1</t>
    </r>
    <r>
      <rPr>
        <b/>
        <sz val="10"/>
        <rFont val="Symbol"/>
        <family val="1"/>
        <charset val="2"/>
      </rPr>
      <t xml:space="preserve"> =</t>
    </r>
  </si>
  <si>
    <r>
      <t>h</t>
    </r>
    <r>
      <rPr>
        <b/>
        <vertAlign val="subscript"/>
        <sz val="10"/>
        <color theme="1"/>
        <rFont val="Arial"/>
        <family val="2"/>
        <scheme val="minor"/>
      </rPr>
      <t>m</t>
    </r>
    <r>
      <rPr>
        <b/>
        <sz val="10"/>
        <color theme="1"/>
        <rFont val="Symbol"/>
        <family val="1"/>
        <charset val="2"/>
      </rPr>
      <t xml:space="preserve"> =</t>
    </r>
  </si>
  <si>
    <r>
      <rPr>
        <sz val="10"/>
        <rFont val="Calibri"/>
        <family val="2"/>
      </rPr>
      <t>κ</t>
    </r>
    <r>
      <rPr>
        <vertAlign val="subscript"/>
        <sz val="10"/>
        <rFont val="Arial"/>
        <family val="2"/>
        <scheme val="minor"/>
      </rPr>
      <t>m</t>
    </r>
    <r>
      <rPr>
        <sz val="10"/>
        <rFont val="Symbol"/>
        <family val="1"/>
        <charset val="2"/>
      </rPr>
      <t xml:space="preserve"> =</t>
    </r>
  </si>
  <si>
    <r>
      <rPr>
        <sz val="10"/>
        <color theme="1"/>
        <rFont val="Calibri"/>
        <family val="2"/>
      </rPr>
      <t>α</t>
    </r>
    <r>
      <rPr>
        <vertAlign val="subscript"/>
        <sz val="10"/>
        <color theme="1"/>
        <rFont val="Arial"/>
        <family val="2"/>
        <scheme val="minor"/>
      </rPr>
      <t>fm,vorh</t>
    </r>
    <r>
      <rPr>
        <sz val="10"/>
        <color theme="1"/>
        <rFont val="Symbol"/>
        <family val="1"/>
        <charset val="2"/>
      </rPr>
      <t xml:space="preserve"> =</t>
    </r>
  </si>
  <si>
    <r>
      <rPr>
        <sz val="10"/>
        <color theme="1"/>
        <rFont val="Calibri"/>
        <family val="2"/>
      </rPr>
      <t>α</t>
    </r>
    <r>
      <rPr>
        <vertAlign val="subscript"/>
        <sz val="10"/>
        <color theme="1"/>
        <rFont val="Arial"/>
        <family val="2"/>
        <scheme val="minor"/>
      </rPr>
      <t>fm</t>
    </r>
    <r>
      <rPr>
        <sz val="10"/>
        <color theme="1"/>
        <rFont val="Symbol"/>
        <family val="1"/>
        <charset val="2"/>
      </rPr>
      <t xml:space="preserve"> =</t>
    </r>
  </si>
  <si>
    <r>
      <t>h</t>
    </r>
    <r>
      <rPr>
        <b/>
        <vertAlign val="subscript"/>
        <sz val="10"/>
        <rFont val="Arial"/>
        <family val="2"/>
        <scheme val="minor"/>
      </rPr>
      <t>fm</t>
    </r>
    <r>
      <rPr>
        <b/>
        <sz val="10"/>
        <rFont val="Symbol"/>
        <family val="1"/>
        <charset val="2"/>
      </rPr>
      <t xml:space="preserve"> =</t>
    </r>
  </si>
  <si>
    <r>
      <t>h</t>
    </r>
    <r>
      <rPr>
        <b/>
        <vertAlign val="subscript"/>
        <sz val="10"/>
        <color theme="1"/>
        <rFont val="Arial"/>
        <family val="2"/>
        <scheme val="minor"/>
      </rPr>
      <t>2</t>
    </r>
    <r>
      <rPr>
        <b/>
        <sz val="10"/>
        <color theme="1"/>
        <rFont val="Symbol"/>
        <family val="1"/>
        <charset val="2"/>
      </rPr>
      <t xml:space="preserve"> =</t>
    </r>
  </si>
  <si>
    <r>
      <rPr>
        <sz val="10"/>
        <rFont val="Calibri"/>
        <family val="2"/>
      </rPr>
      <t>κ</t>
    </r>
    <r>
      <rPr>
        <vertAlign val="subscript"/>
        <sz val="10"/>
        <rFont val="Arial"/>
        <family val="2"/>
        <scheme val="minor"/>
      </rPr>
      <t>2</t>
    </r>
    <r>
      <rPr>
        <sz val="10"/>
        <rFont val="Symbol"/>
        <family val="1"/>
        <charset val="2"/>
      </rPr>
      <t xml:space="preserve"> =</t>
    </r>
  </si>
  <si>
    <r>
      <rPr>
        <sz val="10"/>
        <color theme="1"/>
        <rFont val="Calibri"/>
        <family val="2"/>
      </rPr>
      <t>α</t>
    </r>
    <r>
      <rPr>
        <vertAlign val="subscript"/>
        <sz val="10"/>
        <color theme="1"/>
        <rFont val="Arial"/>
        <family val="2"/>
        <scheme val="minor"/>
      </rPr>
      <t>f2,vorh</t>
    </r>
    <r>
      <rPr>
        <sz val="10"/>
        <color theme="1"/>
        <rFont val="Symbol"/>
        <family val="1"/>
        <charset val="2"/>
      </rPr>
      <t xml:space="preserve"> =</t>
    </r>
  </si>
  <si>
    <r>
      <rPr>
        <sz val="10"/>
        <color theme="1"/>
        <rFont val="Calibri"/>
        <family val="2"/>
      </rPr>
      <t>α</t>
    </r>
    <r>
      <rPr>
        <vertAlign val="subscript"/>
        <sz val="10"/>
        <color theme="1"/>
        <rFont val="Arial"/>
        <family val="2"/>
        <scheme val="minor"/>
      </rPr>
      <t>f2</t>
    </r>
    <r>
      <rPr>
        <sz val="10"/>
        <color theme="1"/>
        <rFont val="Symbol"/>
        <family val="1"/>
        <charset val="2"/>
      </rPr>
      <t xml:space="preserve"> =</t>
    </r>
  </si>
  <si>
    <r>
      <t>h</t>
    </r>
    <r>
      <rPr>
        <b/>
        <vertAlign val="subscript"/>
        <sz val="10"/>
        <color theme="1"/>
        <rFont val="Arial"/>
        <family val="2"/>
        <scheme val="minor"/>
      </rPr>
      <t>f2</t>
    </r>
    <r>
      <rPr>
        <b/>
        <sz val="10"/>
        <color theme="1"/>
        <rFont val="Symbol"/>
        <family val="1"/>
        <charset val="2"/>
      </rPr>
      <t xml:space="preserve"> =</t>
    </r>
  </si>
  <si>
    <t>Ergebnisse anzeigen und drucken</t>
  </si>
  <si>
    <r>
      <t xml:space="preserve">0,05 </t>
    </r>
    <r>
      <rPr>
        <sz val="10"/>
        <color theme="1"/>
        <rFont val="Calibri"/>
        <family val="2"/>
      </rPr>
      <t>·</t>
    </r>
    <r>
      <rPr>
        <sz val="10"/>
        <color theme="1"/>
        <rFont val="Arial"/>
        <family val="2"/>
      </rPr>
      <t xml:space="preserve"> a maßgebend</t>
    </r>
  </si>
  <si>
    <r>
      <t xml:space="preserve">Shown when total eccentricity is smaller than 0,05 </t>
    </r>
    <r>
      <rPr>
        <sz val="10"/>
        <color theme="1"/>
        <rFont val="Calibri"/>
        <family val="2"/>
      </rPr>
      <t>·</t>
    </r>
    <r>
      <rPr>
        <sz val="10"/>
        <color theme="1"/>
        <rFont val="Arial"/>
        <family val="2"/>
      </rPr>
      <t xml:space="preserve"> a.</t>
    </r>
  </si>
  <si>
    <r>
      <t xml:space="preserve">Shown when total eccentricity is smaller than 0,05 </t>
    </r>
    <r>
      <rPr>
        <sz val="10"/>
        <color theme="1"/>
        <rFont val="Calibri"/>
        <family val="2"/>
      </rPr>
      <t>·</t>
    </r>
    <r>
      <rPr>
        <sz val="10"/>
        <color theme="1"/>
        <rFont val="Arial"/>
        <family val="2"/>
      </rPr>
      <t xml:space="preserve"> t.(Wall middle)</t>
    </r>
  </si>
  <si>
    <t>Kein Brandnachweis erforderlich!</t>
  </si>
  <si>
    <t>Shown when no fire proof is needed.</t>
  </si>
  <si>
    <t>Kein Nachweis erforderlich</t>
  </si>
  <si>
    <t>Gesamte Ausmitte</t>
  </si>
  <si>
    <r>
      <t>Gesamte Ausmitte (</t>
    </r>
    <r>
      <rPr>
        <sz val="10"/>
        <rFont val="Calibri"/>
        <family val="2"/>
      </rPr>
      <t>≥</t>
    </r>
    <r>
      <rPr>
        <sz val="10"/>
        <rFont val="Arial"/>
        <family val="2"/>
        <scheme val="minor"/>
      </rPr>
      <t xml:space="preserve"> 0,05 a)</t>
    </r>
  </si>
  <si>
    <t>Gesamte Ausmitte (≥ 0,05 a)</t>
  </si>
  <si>
    <t>&lt;?xml version="1.0" encoding="utf-16"?&gt;_x000D_
&lt;Preset xmlns:xsd="http://www.w3.org/2001/XMLSchema" xmlns:xsi="http://www.w3.org/2001/XMLSchema-instance"&gt;_x000D_
  &lt;Name&gt;Png, 300 dpi, RGB, Transparente Leinwand&lt;/Name&gt;_x000D_
  &lt;Dpi&gt;300&lt;/Dpi&gt;_x000D_
  &lt;FileType&gt;Png&lt;/FileType&gt;_x000D_
  &lt;ColorSpace&gt;Rgb&lt;/ColorSpace&gt;_x000D_
  &lt;Transparency&gt;TransparentCanvas&lt;/Transparency&gt;_x000D_
  &lt;UseColorProfile&gt;false&lt;/UseColorProfile&gt;_x000D_
  &lt;ColorProfile&gt;CNBJPRN3&lt;/ColorProfile&gt;_x000D_
&lt;/Preset&gt;</t>
  </si>
  <si>
    <t>E:\Raphael\Cloud-Ordner\ownCloud\Shared\Mauerwerkstool\01_Projektversionen\Nrd-Tool\C_Deutschland\099_Manual_WB\Bilder\Ergebnisse.png</t>
  </si>
  <si>
    <t>Bezogene Auflagertiefe am Wandkopf</t>
  </si>
  <si>
    <t>Bezogene Auflagertiefe am Wandfuß</t>
  </si>
  <si>
    <r>
      <t>a</t>
    </r>
    <r>
      <rPr>
        <vertAlign val="subscript"/>
        <sz val="10"/>
        <color theme="1"/>
        <rFont val="Arial"/>
        <family val="2"/>
        <scheme val="minor"/>
      </rPr>
      <t>Fuß</t>
    </r>
    <r>
      <rPr>
        <sz val="10"/>
        <color theme="1"/>
        <rFont val="Arial"/>
        <family val="2"/>
        <scheme val="minor"/>
      </rPr>
      <t>/t =</t>
    </r>
  </si>
  <si>
    <r>
      <t>a</t>
    </r>
    <r>
      <rPr>
        <vertAlign val="subscript"/>
        <sz val="10"/>
        <color theme="1"/>
        <rFont val="Arial"/>
        <family val="2"/>
        <scheme val="minor"/>
      </rPr>
      <t>Kopf</t>
    </r>
    <r>
      <rPr>
        <sz val="10"/>
        <color theme="1"/>
        <rFont val="Arial"/>
        <family val="2"/>
        <scheme val="minor"/>
      </rPr>
      <t>/t =</t>
    </r>
  </si>
  <si>
    <t>Lichte Wandhöhe</t>
  </si>
  <si>
    <t>a &gt;=</t>
  </si>
  <si>
    <t>Minimum bearing depth for considering a height reduction.</t>
  </si>
  <si>
    <t>Thickness for height reduction.</t>
  </si>
  <si>
    <t>2.3 Hinweise</t>
  </si>
  <si>
    <r>
      <t>Erforderliche Feuerwiderstandsklasse</t>
    </r>
    <r>
      <rPr>
        <vertAlign val="superscript"/>
        <sz val="10"/>
        <color theme="1"/>
        <rFont val="Arial"/>
        <family val="2"/>
        <scheme val="minor"/>
      </rPr>
      <t>1)</t>
    </r>
  </si>
  <si>
    <r>
      <t>1.2 Einwirkungen</t>
    </r>
    <r>
      <rPr>
        <vertAlign val="superscript"/>
        <sz val="10"/>
        <color theme="0"/>
        <rFont val="Arial"/>
        <family val="2"/>
        <scheme val="minor"/>
      </rPr>
      <t>2) 3)</t>
    </r>
  </si>
  <si>
    <r>
      <t>1.2.4 Windlast</t>
    </r>
    <r>
      <rPr>
        <vertAlign val="superscript"/>
        <sz val="10"/>
        <color theme="0"/>
        <rFont val="Arial"/>
        <family val="2"/>
        <scheme val="minor"/>
      </rPr>
      <t>4)</t>
    </r>
  </si>
  <si>
    <t>2) Die Belastung der Decken in 1.2.1 und 1.2.2 dient lediglich zur Ermittlung der Knotenmomente! Die Normalkräfte müssen in 1.2.3 festgelegt werden.</t>
  </si>
  <si>
    <t>3) Das Bemessungstool ist nur für die Berechnung eines einzelnen Lastfalls geeignet. Für jede auftretende Lastfallkombination muss eine gesonderte Eingabe erfolgen!</t>
  </si>
  <si>
    <t>4) Bei der Berechnung der Biegemomente infolge Wind wird der Absolutwert der eingegebenen Windbelastung herangezogen, da bei der Berechnung der Gesamtausmitte das Vorzeichen unerheblich ist.</t>
  </si>
  <si>
    <t>Aufteilung der Momente infolge Wind</t>
  </si>
  <si>
    <r>
      <rPr>
        <b/>
        <sz val="10"/>
        <color theme="1"/>
        <rFont val="Arial"/>
        <family val="2"/>
      </rPr>
      <t>α</t>
    </r>
    <r>
      <rPr>
        <b/>
        <vertAlign val="subscript"/>
        <sz val="10"/>
        <color theme="1"/>
        <rFont val="Arial"/>
        <family val="2"/>
      </rPr>
      <t>ti</t>
    </r>
    <r>
      <rPr>
        <b/>
        <sz val="10"/>
        <color theme="1"/>
        <rFont val="Arial"/>
        <family val="2"/>
        <scheme val="minor"/>
      </rPr>
      <t xml:space="preserve">
Max. Ausnutzung Brand - F90</t>
    </r>
  </si>
  <si>
    <r>
      <t>α</t>
    </r>
    <r>
      <rPr>
        <b/>
        <vertAlign val="subscript"/>
        <sz val="10"/>
        <color theme="1"/>
        <rFont val="Arial"/>
        <family val="2"/>
        <scheme val="minor"/>
      </rPr>
      <t>ti</t>
    </r>
    <r>
      <rPr>
        <b/>
        <sz val="10"/>
        <color theme="1"/>
        <rFont val="Arial"/>
        <family val="2"/>
        <scheme val="minor"/>
      </rPr>
      <t xml:space="preserve">
Max. Ausnutzung Brand - F60</t>
    </r>
  </si>
  <si>
    <r>
      <t>α</t>
    </r>
    <r>
      <rPr>
        <b/>
        <vertAlign val="subscript"/>
        <sz val="10"/>
        <color theme="1"/>
        <rFont val="Arial"/>
        <family val="2"/>
        <scheme val="minor"/>
      </rPr>
      <t>ti</t>
    </r>
    <r>
      <rPr>
        <b/>
        <sz val="10"/>
        <color theme="1"/>
        <rFont val="Arial"/>
        <family val="2"/>
        <scheme val="minor"/>
      </rPr>
      <t xml:space="preserve">
Max. Ausnutzung Brand - F30</t>
    </r>
  </si>
  <si>
    <r>
      <t>α</t>
    </r>
    <r>
      <rPr>
        <b/>
        <vertAlign val="subscript"/>
        <sz val="10"/>
        <color theme="1"/>
        <rFont val="Arial"/>
        <family val="2"/>
        <scheme val="minor"/>
      </rPr>
      <t>ti</t>
    </r>
    <r>
      <rPr>
        <b/>
        <sz val="10"/>
        <color theme="1"/>
        <rFont val="Arial"/>
        <family val="2"/>
        <scheme val="minor"/>
      </rPr>
      <t xml:space="preserve">
Max. Ausn. Brand - Brandwand</t>
    </r>
  </si>
  <si>
    <r>
      <rPr>
        <b/>
        <sz val="10"/>
        <color theme="1"/>
        <rFont val="Arial"/>
        <family val="2"/>
      </rPr>
      <t>χ·κ</t>
    </r>
    <r>
      <rPr>
        <b/>
        <sz val="10"/>
        <color theme="1"/>
        <rFont val="Arial"/>
        <family val="2"/>
        <scheme val="minor"/>
      </rPr>
      <t xml:space="preserve">
Max. Ausnutzung Brand - F90</t>
    </r>
  </si>
  <si>
    <t>χ·κ
Max. Ausnutzung Brand - F60</t>
  </si>
  <si>
    <t>χ·κ
Max. Ausnutzung Brand - F30</t>
  </si>
  <si>
    <t>χ·κ
Max. Ausn. Brand - Brandwand</t>
  </si>
  <si>
    <r>
      <t xml:space="preserve">5) Bei der Brandbemessung gelten besondere Anforderungen an die Gesamtausmitte. Falls die Gesamtausmitte t/6 überschreitet und die Auflagertiefe a </t>
    </r>
    <r>
      <rPr>
        <sz val="10"/>
        <color theme="1"/>
        <rFont val="Arial"/>
        <family val="2"/>
      </rPr>
      <t>˂ 2/3·t ist,</t>
    </r>
    <r>
      <rPr>
        <sz val="10"/>
        <color theme="1"/>
        <rFont val="Arial"/>
        <family val="2"/>
        <scheme val="minor"/>
      </rPr>
      <t xml:space="preserve"> sind besondere Zentriermaßnahmen erforderlich!</t>
    </r>
  </si>
  <si>
    <r>
      <t>2.1.3 Nachweis im Brandfall</t>
    </r>
    <r>
      <rPr>
        <vertAlign val="superscript"/>
        <sz val="10"/>
        <color theme="0"/>
        <rFont val="Arial"/>
        <family val="2"/>
        <scheme val="minor"/>
      </rPr>
      <t>1) 5)</t>
    </r>
  </si>
  <si>
    <t>l&lt;</t>
  </si>
  <si>
    <t>Maximum length for displaying column output in case of fire.</t>
  </si>
  <si>
    <t>Wandpfeiler → Brandnachweis ist händisch zu führen!</t>
  </si>
  <si>
    <t>Shown when manual fire proof is needed.</t>
  </si>
  <si>
    <t>1) Die Brandbemessung von Mauerwerkspfeilern (Wandlänge &lt; 1 m) ist nicht im Tool integriert und muss deswegen gesondert vom Anwender durchgeführt werden!</t>
  </si>
  <si>
    <r>
      <t>N</t>
    </r>
    <r>
      <rPr>
        <b/>
        <vertAlign val="subscript"/>
        <sz val="10"/>
        <color theme="1"/>
        <rFont val="Arial"/>
        <family val="2"/>
        <scheme val="minor"/>
      </rPr>
      <t>Rd,i</t>
    </r>
    <r>
      <rPr>
        <b/>
        <sz val="10"/>
        <color theme="1"/>
        <rFont val="Arial"/>
        <family val="2"/>
        <scheme val="minor"/>
      </rPr>
      <t xml:space="preserve"> =</t>
    </r>
  </si>
  <si>
    <r>
      <t>N</t>
    </r>
    <r>
      <rPr>
        <b/>
        <vertAlign val="subscript"/>
        <sz val="10"/>
        <color theme="1"/>
        <rFont val="Arial"/>
        <family val="2"/>
        <scheme val="minor"/>
      </rPr>
      <t>Rd,2</t>
    </r>
    <r>
      <rPr>
        <b/>
        <sz val="10"/>
        <color theme="1"/>
        <rFont val="Arial"/>
        <family val="2"/>
        <scheme val="minor"/>
      </rPr>
      <t xml:space="preserve"> =</t>
    </r>
  </si>
  <si>
    <r>
      <t>N</t>
    </r>
    <r>
      <rPr>
        <b/>
        <vertAlign val="subscript"/>
        <sz val="10"/>
        <color theme="1"/>
        <rFont val="Arial"/>
        <family val="2"/>
        <scheme val="minor"/>
      </rPr>
      <t>Rd,m</t>
    </r>
    <r>
      <rPr>
        <b/>
        <sz val="10"/>
        <color theme="1"/>
        <rFont val="Arial"/>
        <family val="2"/>
        <scheme val="minor"/>
      </rPr>
      <t xml:space="preserve"> =</t>
    </r>
  </si>
  <si>
    <r>
      <t>N</t>
    </r>
    <r>
      <rPr>
        <b/>
        <vertAlign val="subscript"/>
        <sz val="10"/>
        <color theme="1"/>
        <rFont val="Arial"/>
        <family val="2"/>
        <scheme val="minor"/>
      </rPr>
      <t>Rd,1</t>
    </r>
    <r>
      <rPr>
        <b/>
        <sz val="10"/>
        <color theme="1"/>
        <rFont val="Arial"/>
        <family val="2"/>
        <scheme val="minor"/>
      </rPr>
      <t xml:space="preserve"> =</t>
    </r>
  </si>
  <si>
    <r>
      <t>g</t>
    </r>
    <r>
      <rPr>
        <vertAlign val="subscript"/>
        <sz val="10"/>
        <color theme="1"/>
        <rFont val="Arial"/>
        <family val="2"/>
        <scheme val="minor"/>
      </rPr>
      <t>D</t>
    </r>
    <r>
      <rPr>
        <sz val="10"/>
        <color theme="1"/>
        <rFont val="Arial"/>
        <family val="2"/>
        <scheme val="minor"/>
      </rPr>
      <t>+q</t>
    </r>
    <r>
      <rPr>
        <vertAlign val="subscript"/>
        <sz val="10"/>
        <color theme="1"/>
        <rFont val="Arial"/>
        <family val="2"/>
        <scheme val="minor"/>
      </rPr>
      <t>D</t>
    </r>
    <r>
      <rPr>
        <sz val="10"/>
        <color theme="1"/>
        <rFont val="Arial"/>
        <family val="2"/>
        <scheme val="minor"/>
      </rPr>
      <t xml:space="preserve"> =</t>
    </r>
  </si>
  <si>
    <t>Gesamtes maßgebendes Biegemoment</t>
  </si>
  <si>
    <r>
      <t>M</t>
    </r>
    <r>
      <rPr>
        <vertAlign val="subscript"/>
        <sz val="10"/>
        <color theme="1"/>
        <rFont val="Arial"/>
        <family val="2"/>
        <scheme val="minor"/>
      </rPr>
      <t>id,ges</t>
    </r>
    <r>
      <rPr>
        <sz val="10"/>
        <color theme="1"/>
        <rFont val="Arial"/>
        <family val="2"/>
        <scheme val="minor"/>
      </rPr>
      <t xml:space="preserve"> =</t>
    </r>
  </si>
  <si>
    <t>T8-24,0-MW nach Zul. Z-17.1-1005</t>
  </si>
  <si>
    <t>T8-30,0-MW  nach Zul. Z-17.1-1005</t>
  </si>
  <si>
    <t>T8-36,5-MW  nach Zul. Z-17.1-1005</t>
  </si>
  <si>
    <t>T8-42,5-MW  nach Zul. Z-17.1-1005</t>
  </si>
  <si>
    <t>T8-30,0-MW  nach Zul. Z-17.1-1041</t>
  </si>
  <si>
    <t>T8-36,5-MW  nach Zul. Z-17.1-1041</t>
  </si>
  <si>
    <t>T8-42,5-MW  nach Zul. Z-17.1-1041</t>
  </si>
  <si>
    <t>Minimum bearing depth to consider fire scenario.</t>
  </si>
  <si>
    <t>l&lt;=</t>
  </si>
  <si>
    <t>Maximum lenght-height-ratio to consider 2 fixed vertical sides</t>
  </si>
  <si>
    <t>Maximum lenght-height-ratio to consider 1 fixed vertical sides</t>
  </si>
  <si>
    <t xml:space="preserve">a &lt; 2/3 · t! → Brandnachweis ist händisch zu führen! </t>
  </si>
  <si>
    <t>Auflagertiefe &lt; 2/3 · t!</t>
  </si>
  <si>
    <t>Shown when wall is to long for consideration of two fixed verges.</t>
  </si>
  <si>
    <t>Shown when wall is to long for consideration of one fixed verge.</t>
  </si>
  <si>
    <r>
      <t>Wandlänge &gt;</t>
    </r>
    <r>
      <rPr>
        <sz val="10"/>
        <color theme="1"/>
        <rFont val="Arial"/>
        <family val="2"/>
      </rPr>
      <t xml:space="preserve"> 30 · t → Gehaltene Ränder nicht berücksichtigt!</t>
    </r>
  </si>
  <si>
    <r>
      <t>Wandlänge &gt;</t>
    </r>
    <r>
      <rPr>
        <sz val="10"/>
        <color theme="1"/>
        <rFont val="Arial"/>
        <family val="2"/>
      </rPr>
      <t xml:space="preserve"> 15 · t → Gehaltener Rand nicht berücksichtigt!</t>
    </r>
  </si>
  <si>
    <t>Beispiel 1 gemäß Manual</t>
  </si>
  <si>
    <t>(Anfragen bitte nur per Email)</t>
  </si>
  <si>
    <r>
      <t xml:space="preserve">Support:
Wienerberger GmbH
</t>
    </r>
    <r>
      <rPr>
        <sz val="10"/>
        <color rgb="FFFFFFFF"/>
        <rFont val="Arial"/>
        <family val="2"/>
      </rPr>
      <t>Oldenburger Allee 26
30659 Hannover</t>
    </r>
  </si>
  <si>
    <r>
      <t xml:space="preserve">Entwicklung:
Wienerberger AG
</t>
    </r>
    <r>
      <rPr>
        <sz val="10"/>
        <color rgb="FFFFFFFF"/>
        <rFont val="Arial"/>
        <family val="2"/>
      </rPr>
      <t>Clay Building Materials Europe
Wienerbergerstraße 11, A-1100 Wien</t>
    </r>
  </si>
  <si>
    <t>www.clay-wienerberger.com</t>
  </si>
  <si>
    <t>www.wienerberger.de</t>
  </si>
  <si>
    <t>nrd-pro-tool@wienerberger.com</t>
  </si>
  <si>
    <t>Für die Bedienung des Programms sind einschlägige statische Kenntnisse erforderlich. Es wird dringend empfohlen, sich vor der Anwendung mit der DIN EN 1996-1-1 und dem zugehörigen nationalen Anhang vertraut zu machen. Weder das Programm noch die Programmbeschreibung erheben Anspruch auf Vollständigkeit.
Die Anwendbarkeit der Berechnungsmethode ist im Einzelfall anhand der DIN EN 1996-1-1 vom Anwender zu prüfen!
Das Handbuch und die darin behandelten Beispiele liegen dem Programm bei.</t>
  </si>
  <si>
    <t>Die neueste Programmversion wird auf der Internetseite des Anbieters bereitgestellt und muss vom Nutzer selbst aktualisiert werden. Neuere Versionen ersetzen alte Versionen mit sofortiger Gültigkeit. Bei Problemen kontaktieren Sie bitte die Abteilung Produktmanagement der Wienerberger GmbH.</t>
  </si>
  <si>
    <t>Beispiel 2 gemäß Manual</t>
  </si>
  <si>
    <t>Beispiel 3 gemäß Manual</t>
  </si>
  <si>
    <t>Z-17.1-1173</t>
  </si>
  <si>
    <t>Plan-T18-17,5 L</t>
  </si>
  <si>
    <t>Plan-T16-17,5</t>
  </si>
  <si>
    <t>Plan-T 17,5-0,8</t>
  </si>
  <si>
    <t>Plan-T 17,5-0,8 EB</t>
  </si>
  <si>
    <t>Plan-T 24,0-0,8</t>
  </si>
  <si>
    <t>Plan-T 24,0-0,8 EB</t>
  </si>
  <si>
    <t>Z-17.1-1093</t>
  </si>
  <si>
    <t>Z-17.1-1092</t>
  </si>
  <si>
    <t>Z-17.1-1110</t>
  </si>
  <si>
    <t>Z-17.1-1088</t>
  </si>
  <si>
    <t>Z-17.1-1090</t>
  </si>
  <si>
    <t>Z-17.1-1091</t>
  </si>
  <si>
    <t>T8-24,0-MW nach Zul. Z-17.1-1041</t>
  </si>
  <si>
    <t>T8-24,0-MW Dryfix (γM=1,8 berücksichtigt)</t>
  </si>
  <si>
    <t>ZWP-Plan-T 11,5 Dryfix (γM=1,8 berücksichtigt)</t>
  </si>
  <si>
    <t>Plan-T 17,5-0,8 Dryfix (γM=1,8 berücksichtigt)</t>
  </si>
  <si>
    <t>Plan-T 24,0-0,8 Dryfix (γM=1,8 berücksichtigt)</t>
  </si>
  <si>
    <t>ZWP-Plan-T 11,5-1,2 Dryfix (γM=1,8 berücksichtigt)</t>
  </si>
  <si>
    <t>Plan-T 17,5-1,2 Dryfix (γM=1,8 berücksichtigt)</t>
  </si>
  <si>
    <t>Plan-T 24,0-1,2 Dryfix (γM=1,8 berücksichtigt)</t>
  </si>
  <si>
    <t>PFZ-T 17,5 Dryfix (γM=1,8 berücksichtigt)</t>
  </si>
  <si>
    <t>PFZ-T 24,0 Dryfix (γM=1,8 berücksichtigt)</t>
  </si>
  <si>
    <t>T7-36,5-MW Dryfix (γM=1,8 berücksichtigt)</t>
  </si>
  <si>
    <t>T7-42,5-MW Dryfix (γM=1,8 berücksichtigt)</t>
  </si>
  <si>
    <t>T8-30,0-MW Dryfix (γM=1,8 berücksichtigt)</t>
  </si>
  <si>
    <t>T8-36,5-MW Dryfix (γM=1,8 berücksichtigt)</t>
  </si>
  <si>
    <t>T8-42,5-MW Dryfix (γM=1,8 berücksichtigt)</t>
  </si>
  <si>
    <t>Plan-T9-36,5 Dryfix (γM=1,8 berücksichtigt)</t>
  </si>
  <si>
    <t>Plan-T10-36,5 Dryfix (γM=1,8 berücksichtigt)</t>
  </si>
  <si>
    <t>Stand: 29.01.2024</t>
  </si>
  <si>
    <t>T6,5-36,5-P</t>
  </si>
  <si>
    <t>T6,5-42,5-P</t>
  </si>
  <si>
    <t>T7-49,0-MW</t>
  </si>
  <si>
    <t>T7-42,5-MW</t>
  </si>
  <si>
    <t>T7-36,5-MW</t>
  </si>
  <si>
    <t>S7-36,5-P</t>
  </si>
  <si>
    <t>S7-42,5-P</t>
  </si>
  <si>
    <t>S7,5-36,5-MW</t>
  </si>
  <si>
    <t>S7,5-42,5-MW</t>
  </si>
  <si>
    <r>
      <t>Das Programm "N</t>
    </r>
    <r>
      <rPr>
        <vertAlign val="subscript"/>
        <sz val="10"/>
        <color rgb="FFFFFFFF"/>
        <rFont val="Arial"/>
        <family val="2"/>
      </rPr>
      <t>Rd</t>
    </r>
    <r>
      <rPr>
        <sz val="10"/>
        <color rgb="FFFFFFFF"/>
        <rFont val="Arial"/>
        <family val="2"/>
      </rPr>
      <t>-Pro-Tool" (Version 1.4) zur Bemessung von unbewehrten Mauerwerkswänden nach DIN EN 1996-1-1 wurde von der Abteilung Produktmanagement der Wienerberger AG (Österreich) entwickelt und von den Verfassern mit größter Sorgfalt erstellt und getestet. Die Übertragung des Programms auf den deutschen Nationalen Anhang erfolgte in Zusammenarbeit mit dem Institut für Massivbau der TU Darmstadt durch Prof. Dr.-Ing. C.-A. Graubner und seinen Mitarbeitern.
Dennoch kann nicht ausgeschlossen werden, dass vereinzelt Fehler auftreten. Wir ersuchen Sie diesbezüglich um Anregungen und Hinweise an die unten angeführte Kontaktadresse.
Das Programm ist speziell auf die Produkte des Poroton Ziegelbausystems abgestimmt; die ausgegebenen Werte gelten nur für diese.</t>
    </r>
  </si>
  <si>
    <t>Version 1.4   |   02/2024   |   10-00500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</si>
</sst>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64" formatCode="0.00\ &quot;m&quot;"/>
    <numFmt numFmtId="165" formatCode="0.00\ &quot;kN/m²&quot;"/>
    <numFmt numFmtId="166" formatCode="0.00\ &quot;N/mm²&quot;"/>
    <numFmt numFmtId="167" formatCode="0.0000000\ &quot;m⁴&quot;"/>
    <numFmt numFmtId="168" formatCode="0.0"/>
    <numFmt numFmtId="169" formatCode="0.000"/>
    <numFmt numFmtId="170" formatCode="0.0000"/>
    <numFmt numFmtId="171" formatCode="0.0000\ &quot;m&quot;"/>
    <numFmt numFmtId="172" formatCode="0.00\ &quot;kN/m&quot;"/>
    <numFmt numFmtId="173" formatCode="&quot;t =&quot;\ 0.00\ &quot;m&quot;"/>
    <numFmt numFmtId="174" formatCode="0.00\ &quot;m²&quot;"/>
    <numFmt numFmtId="175" formatCode="0.00\ &quot;kNm/m&quot;"/>
    <numFmt numFmtId="176" formatCode="0.00\ &quot;kg/m²&quot;"/>
    <numFmt numFmtId="177" formatCode="0\ &quot;kNm&quot;"/>
    <numFmt numFmtId="178" formatCode="0.00\ &quot;kN&quot;"/>
    <numFmt numFmtId="179" formatCode="0\ &quot;N/mm²&quot;"/>
    <numFmt numFmtId="180" formatCode="0.00000\ &quot;m⁴&quot;"/>
    <numFmt numFmtId="181" formatCode="0.000\ &quot;m&quot;"/>
    <numFmt numFmtId="182" formatCode="&quot;Z-17.1-&quot;0"/>
    <numFmt numFmtId="183" formatCode="0\ &quot;mm&quot;"/>
    <numFmt numFmtId="184" formatCode="&quot;mit α₄ = &quot;0.00"/>
    <numFmt numFmtId="185" formatCode="&quot;mit α₃ = &quot;0.00"/>
    <numFmt numFmtId="186" formatCode="0.000\ &quot;kN/m²&quot;"/>
    <numFmt numFmtId="187" formatCode="0.000\ &quot;m²&quot;"/>
    <numFmt numFmtId="188" formatCode="0.0&quot;%&quot;"/>
    <numFmt numFmtId="189" formatCode="&quot;entspricht&quot;\ 0.00\ &quot;kN&quot;"/>
    <numFmt numFmtId="190" formatCode="&quot;Z-17.21-&quot;0"/>
  </numFmts>
  <fonts count="70" x14ac:knownFonts="1">
    <font>
      <sz val="11"/>
      <color theme="1"/>
      <name val="Arial"/>
      <family val="2"/>
      <scheme val="minor"/>
    </font>
    <font>
      <sz val="10"/>
      <color theme="1"/>
      <name val="Calibri"/>
      <family val="2"/>
    </font>
    <font>
      <sz val="11"/>
      <color theme="1"/>
      <name val="Arial"/>
      <family val="2"/>
      <scheme val="minor"/>
    </font>
    <font>
      <b/>
      <sz val="15"/>
      <color theme="3"/>
      <name val="Arial"/>
      <family val="2"/>
      <scheme val="minor"/>
    </font>
    <font>
      <sz val="11"/>
      <color theme="0"/>
      <name val="Arial"/>
      <family val="2"/>
      <scheme val="minor"/>
    </font>
    <font>
      <sz val="10"/>
      <color theme="0"/>
      <name val="Arial"/>
      <family val="2"/>
      <scheme val="minor"/>
    </font>
    <font>
      <sz val="10"/>
      <color theme="1"/>
      <name val="Arial"/>
      <family val="2"/>
      <scheme val="minor"/>
    </font>
    <font>
      <vertAlign val="subscript"/>
      <sz val="10"/>
      <color theme="1"/>
      <name val="Arial"/>
      <family val="2"/>
      <scheme val="minor"/>
    </font>
    <font>
      <sz val="10"/>
      <name val="Symbol"/>
      <family val="1"/>
      <charset val="2"/>
    </font>
    <font>
      <sz val="10"/>
      <color theme="1"/>
      <name val="Symbol"/>
      <family val="1"/>
      <charset val="2"/>
    </font>
    <font>
      <b/>
      <sz val="10"/>
      <color theme="0"/>
      <name val="Arial"/>
      <family val="2"/>
      <scheme val="minor"/>
    </font>
    <font>
      <vertAlign val="subscript"/>
      <sz val="10"/>
      <name val="Arial"/>
      <family val="2"/>
    </font>
    <font>
      <sz val="10"/>
      <name val="Arial"/>
      <family val="2"/>
    </font>
    <font>
      <sz val="10"/>
      <color theme="1"/>
      <name val="Calibri"/>
      <family val="2"/>
    </font>
    <font>
      <sz val="10"/>
      <name val="Arial"/>
      <family val="2"/>
      <scheme val="minor"/>
    </font>
    <font>
      <vertAlign val="subscript"/>
      <sz val="10"/>
      <color theme="1"/>
      <name val="Arial"/>
      <family val="2"/>
    </font>
    <font>
      <b/>
      <sz val="10"/>
      <color theme="1"/>
      <name val="Arial"/>
      <family val="2"/>
      <scheme val="minor"/>
    </font>
    <font>
      <b/>
      <vertAlign val="subscript"/>
      <sz val="10"/>
      <color theme="1"/>
      <name val="Arial"/>
      <family val="2"/>
      <scheme val="minor"/>
    </font>
    <font>
      <b/>
      <sz val="10"/>
      <color theme="1"/>
      <name val="Symbol"/>
      <family val="1"/>
      <charset val="2"/>
    </font>
    <font>
      <sz val="10"/>
      <name val="Calibri"/>
      <family val="2"/>
    </font>
    <font>
      <sz val="10"/>
      <color theme="0" tint="-0.499984740745262"/>
      <name val="Arial"/>
      <family val="2"/>
      <scheme val="minor"/>
    </font>
    <font>
      <sz val="10"/>
      <color theme="1" tint="0.499984740745262"/>
      <name val="Arial"/>
      <family val="2"/>
      <scheme val="minor"/>
    </font>
    <font>
      <sz val="11"/>
      <color rgb="FF000000"/>
      <name val="Calibri"/>
      <family val="2"/>
    </font>
    <font>
      <b/>
      <sz val="12"/>
      <color theme="0"/>
      <name val="Arial"/>
      <family val="2"/>
      <scheme val="minor"/>
    </font>
    <font>
      <b/>
      <sz val="20"/>
      <color rgb="FFB30000"/>
      <name val="Arial"/>
      <family val="2"/>
    </font>
    <font>
      <sz val="11"/>
      <color theme="1"/>
      <name val="Arial"/>
      <family val="2"/>
    </font>
    <font>
      <b/>
      <sz val="15"/>
      <color theme="3"/>
      <name val="Arial"/>
      <family val="2"/>
    </font>
    <font>
      <b/>
      <sz val="11"/>
      <color theme="3"/>
      <name val="Arial"/>
      <family val="2"/>
      <scheme val="minor"/>
    </font>
    <font>
      <b/>
      <sz val="10"/>
      <color rgb="FFFF0000"/>
      <name val="Arial"/>
      <family val="2"/>
      <scheme val="minor"/>
    </font>
    <font>
      <b/>
      <sz val="11"/>
      <color theme="1"/>
      <name val="Arial Narrow"/>
      <family val="2"/>
    </font>
    <font>
      <vertAlign val="subscript"/>
      <sz val="10"/>
      <color theme="1"/>
      <name val="Calibri"/>
      <family val="2"/>
    </font>
    <font>
      <sz val="10"/>
      <color theme="1"/>
      <name val="Arial"/>
      <family val="2"/>
    </font>
    <font>
      <b/>
      <sz val="10"/>
      <color theme="0" tint="-0.499984740745262"/>
      <name val="Arial"/>
      <family val="2"/>
      <scheme val="minor"/>
    </font>
    <font>
      <b/>
      <sz val="10"/>
      <color theme="1" tint="0.499984740745262"/>
      <name val="Arial"/>
      <family val="2"/>
      <scheme val="minor"/>
    </font>
    <font>
      <b/>
      <sz val="12"/>
      <color theme="0" tint="-0.499984740745262"/>
      <name val="Arial"/>
      <family val="2"/>
      <scheme val="minor"/>
    </font>
    <font>
      <b/>
      <sz val="10"/>
      <color theme="0" tint="-0.499984740745262"/>
      <name val="Symbol"/>
      <family val="1"/>
      <charset val="2"/>
    </font>
    <font>
      <b/>
      <vertAlign val="subscript"/>
      <sz val="10"/>
      <color theme="0" tint="-0.499984740745262"/>
      <name val="Arial"/>
      <family val="2"/>
    </font>
    <font>
      <b/>
      <sz val="24"/>
      <color rgb="FFB30000"/>
      <name val="Arial"/>
      <family val="2"/>
    </font>
    <font>
      <b/>
      <vertAlign val="subscript"/>
      <sz val="24"/>
      <color rgb="FFB30000"/>
      <name val="Arial"/>
      <family val="2"/>
    </font>
    <font>
      <sz val="10"/>
      <color theme="1"/>
      <name val="Arial Narrow"/>
      <family val="2"/>
    </font>
    <font>
      <sz val="8"/>
      <color theme="1"/>
      <name val="Arial Narrow"/>
      <family val="2"/>
    </font>
    <font>
      <b/>
      <sz val="14"/>
      <color rgb="FFB30000"/>
      <name val="Arial"/>
      <family val="2"/>
    </font>
    <font>
      <b/>
      <sz val="10"/>
      <name val="Arial"/>
      <family val="2"/>
    </font>
    <font>
      <sz val="11"/>
      <name val="Arial"/>
      <family val="2"/>
    </font>
    <font>
      <sz val="8"/>
      <name val="Arial"/>
      <family val="2"/>
      <scheme val="minor"/>
    </font>
    <font>
      <b/>
      <sz val="10"/>
      <color rgb="FFFFFFFF"/>
      <name val="Arial"/>
      <family val="2"/>
    </font>
    <font>
      <sz val="10"/>
      <color rgb="FFFFFFFF"/>
      <name val="Arial"/>
      <family val="2"/>
    </font>
    <font>
      <sz val="30"/>
      <name val="Arial Black"/>
      <family val="2"/>
    </font>
    <font>
      <b/>
      <sz val="18"/>
      <name val="Arial"/>
      <family val="2"/>
    </font>
    <font>
      <sz val="10"/>
      <color theme="0"/>
      <name val="Arial"/>
      <family val="2"/>
    </font>
    <font>
      <vertAlign val="subscript"/>
      <sz val="10"/>
      <name val="Arial"/>
      <family val="2"/>
      <scheme val="minor"/>
    </font>
    <font>
      <sz val="10"/>
      <color rgb="FFFF0000"/>
      <name val="Arial Narrow"/>
      <family val="2"/>
    </font>
    <font>
      <b/>
      <sz val="10"/>
      <color rgb="FFB30000"/>
      <name val="Arial"/>
      <family val="2"/>
      <scheme val="minor"/>
    </font>
    <font>
      <sz val="10"/>
      <color rgb="FFDDDDDD"/>
      <name val="Arial"/>
      <family val="2"/>
      <scheme val="minor"/>
    </font>
    <font>
      <b/>
      <sz val="10"/>
      <name val="Symbol"/>
      <family val="1"/>
      <charset val="2"/>
    </font>
    <font>
      <b/>
      <sz val="10"/>
      <name val="Arial"/>
      <family val="2"/>
      <scheme val="minor"/>
    </font>
    <font>
      <b/>
      <vertAlign val="subscript"/>
      <sz val="10"/>
      <name val="Arial"/>
      <family val="2"/>
      <scheme val="minor"/>
    </font>
    <font>
      <b/>
      <sz val="10"/>
      <color rgb="FFB20917"/>
      <name val="Arial"/>
      <family val="2"/>
      <scheme val="minor"/>
    </font>
    <font>
      <vertAlign val="superscript"/>
      <sz val="10"/>
      <color theme="1"/>
      <name val="Arial"/>
      <family val="2"/>
      <scheme val="minor"/>
    </font>
    <font>
      <vertAlign val="superscript"/>
      <sz val="10"/>
      <color theme="0"/>
      <name val="Arial"/>
      <family val="2"/>
      <scheme val="minor"/>
    </font>
    <font>
      <b/>
      <sz val="11"/>
      <color theme="0"/>
      <name val="Arial"/>
      <family val="2"/>
      <scheme val="minor"/>
    </font>
    <font>
      <b/>
      <sz val="10"/>
      <color theme="1"/>
      <name val="Arial"/>
      <family val="2"/>
    </font>
    <font>
      <b/>
      <vertAlign val="subscript"/>
      <sz val="10"/>
      <color theme="1"/>
      <name val="Arial"/>
      <family val="2"/>
    </font>
    <font>
      <b/>
      <sz val="10"/>
      <color rgb="FFFF0000"/>
      <name val="Arial Narrow"/>
      <family val="2"/>
    </font>
    <font>
      <sz val="9"/>
      <color indexed="81"/>
      <name val="Segoe UI"/>
      <family val="2"/>
    </font>
    <font>
      <sz val="10"/>
      <color rgb="FFFF0000"/>
      <name val="Arial"/>
      <family val="2"/>
      <scheme val="minor"/>
    </font>
    <font>
      <u/>
      <sz val="11"/>
      <color theme="10"/>
      <name val="Arial"/>
      <family val="2"/>
      <scheme val="minor"/>
    </font>
    <font>
      <u/>
      <sz val="10"/>
      <color theme="0"/>
      <name val="Arial"/>
      <family val="2"/>
      <scheme val="minor"/>
    </font>
    <font>
      <vertAlign val="subscript"/>
      <sz val="10"/>
      <color rgb="FFFFFFFF"/>
      <name val="Arial"/>
      <family val="2"/>
    </font>
    <font>
      <sz val="11"/>
      <name val="Arial"/>
      <family val="2"/>
      <scheme val="minor"/>
    </font>
  </fonts>
  <fills count="15">
    <fill>
      <patternFill patternType="none"/>
    </fill>
    <fill>
      <patternFill patternType="gray125"/>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rgb="FFB30000"/>
        <bgColor indexed="64"/>
      </patternFill>
    </fill>
    <fill>
      <patternFill patternType="solid">
        <fgColor rgb="FFDDDDDD"/>
        <bgColor indexed="64"/>
      </patternFill>
    </fill>
    <fill>
      <patternFill patternType="solid">
        <fgColor rgb="FF8C0000"/>
        <bgColor indexed="64"/>
      </patternFill>
    </fill>
    <fill>
      <patternFill patternType="solid">
        <fgColor rgb="FF9C9C9C"/>
        <bgColor indexed="64"/>
      </patternFill>
    </fill>
    <fill>
      <patternFill patternType="solid">
        <fgColor theme="0"/>
        <bgColor indexed="64"/>
      </patternFill>
    </fill>
    <fill>
      <patternFill patternType="solid">
        <fgColor theme="9" tint="0.39997558519241921"/>
        <bgColor indexed="64"/>
      </patternFill>
    </fill>
    <fill>
      <patternFill patternType="solid">
        <fgColor rgb="FFB20917"/>
        <bgColor rgb="FF000000"/>
      </patternFill>
    </fill>
    <fill>
      <patternFill patternType="solid">
        <fgColor theme="0"/>
        <bgColor rgb="FF000000"/>
      </patternFill>
    </fill>
  </fills>
  <borders count="55">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ck">
        <color rgb="FFDDDDDD"/>
      </bottom>
      <diagonal/>
    </border>
    <border>
      <left style="thick">
        <color rgb="FFDDDDDD"/>
      </left>
      <right style="thick">
        <color rgb="FFDDDDDD"/>
      </right>
      <top style="thick">
        <color rgb="FFDDDDDD"/>
      </top>
      <bottom style="thick">
        <color rgb="FFDDDDDD"/>
      </bottom>
      <diagonal/>
    </border>
    <border>
      <left/>
      <right style="thick">
        <color rgb="FFDDDDDD"/>
      </right>
      <top/>
      <bottom style="thick">
        <color rgb="FFDDDDDD"/>
      </bottom>
      <diagonal/>
    </border>
    <border>
      <left style="thick">
        <color rgb="FFDDDDDD"/>
      </left>
      <right style="thick">
        <color rgb="FFDDDDDD"/>
      </right>
      <top/>
      <bottom style="thick">
        <color rgb="FFDDDDDD"/>
      </bottom>
      <diagonal/>
    </border>
    <border>
      <left style="thick">
        <color rgb="FFDDDDDD"/>
      </left>
      <right/>
      <top/>
      <bottom style="thick">
        <color rgb="FFDDDDDD"/>
      </bottom>
      <diagonal/>
    </border>
    <border>
      <left/>
      <right style="thick">
        <color rgb="FFDDDDDD"/>
      </right>
      <top style="thick">
        <color rgb="FFDDDDDD"/>
      </top>
      <bottom style="thick">
        <color rgb="FFDDDDDD"/>
      </bottom>
      <diagonal/>
    </border>
    <border>
      <left style="thick">
        <color rgb="FFDDDDDD"/>
      </left>
      <right/>
      <top style="thick">
        <color rgb="FFDDDDDD"/>
      </top>
      <bottom style="thick">
        <color rgb="FFDDDDDD"/>
      </bottom>
      <diagonal/>
    </border>
    <border>
      <left/>
      <right/>
      <top style="thick">
        <color rgb="FFDDDDDD"/>
      </top>
      <bottom style="thick">
        <color rgb="FFDDDDDD"/>
      </bottom>
      <diagonal/>
    </border>
    <border>
      <left/>
      <right/>
      <top style="thick">
        <color rgb="FFDDDDDD"/>
      </top>
      <bottom/>
      <diagonal/>
    </border>
    <border>
      <left style="thick">
        <color rgb="FFB30000"/>
      </left>
      <right style="thick">
        <color rgb="FFB30000"/>
      </right>
      <top style="thick">
        <color rgb="FFB30000"/>
      </top>
      <bottom style="thick">
        <color rgb="FFDDDDDD"/>
      </bottom>
      <diagonal/>
    </border>
    <border>
      <left style="thick">
        <color rgb="FFB30000"/>
      </left>
      <right style="thick">
        <color rgb="FFB30000"/>
      </right>
      <top style="thick">
        <color rgb="FFDDDDDD"/>
      </top>
      <bottom style="thick">
        <color rgb="FFDDDDDD"/>
      </bottom>
      <diagonal/>
    </border>
    <border>
      <left/>
      <right/>
      <top style="thick">
        <color rgb="FFB3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thick">
        <color auto="1"/>
      </bottom>
      <diagonal/>
    </border>
    <border>
      <left style="thick">
        <color rgb="FFAF0917"/>
      </left>
      <right style="thick">
        <color rgb="FFAF0917"/>
      </right>
      <top style="thick">
        <color rgb="FFDDDDDD"/>
      </top>
      <bottom style="thick">
        <color rgb="FFDDDDDD"/>
      </bottom>
      <diagonal/>
    </border>
    <border>
      <left style="thick">
        <color rgb="FFB30000"/>
      </left>
      <right style="thick">
        <color rgb="FFB30000"/>
      </right>
      <top/>
      <bottom style="thick">
        <color rgb="FFDDDDDD"/>
      </bottom>
      <diagonal/>
    </border>
    <border>
      <left style="thick">
        <color rgb="FFB30000"/>
      </left>
      <right style="thick">
        <color rgb="FFB30000"/>
      </right>
      <top style="thick">
        <color rgb="FFDDDDDD"/>
      </top>
      <bottom style="thick">
        <color rgb="FFB30000"/>
      </bottom>
      <diagonal/>
    </border>
    <border>
      <left style="medium">
        <color rgb="FFFF0000"/>
      </left>
      <right style="medium">
        <color rgb="FFFF0000"/>
      </right>
      <top style="medium">
        <color rgb="FFFF0000"/>
      </top>
      <bottom style="medium">
        <color rgb="FFFF0000"/>
      </bottom>
      <diagonal/>
    </border>
  </borders>
  <cellStyleXfs count="7">
    <xf numFmtId="0" fontId="0" fillId="0" borderId="0"/>
    <xf numFmtId="0" fontId="3" fillId="0" borderId="1" applyNumberFormat="0" applyFill="0" applyAlignment="0" applyProtection="0"/>
    <xf numFmtId="0" fontId="4" fillId="3" borderId="0" applyNumberFormat="0" applyBorder="0" applyAlignment="0" applyProtection="0"/>
    <xf numFmtId="0" fontId="2"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66" fillId="0" borderId="0" applyNumberFormat="0" applyFill="0" applyBorder="0" applyAlignment="0" applyProtection="0"/>
  </cellStyleXfs>
  <cellXfs count="495">
    <xf numFmtId="0" fontId="0" fillId="0" borderId="0" xfId="0"/>
    <xf numFmtId="0" fontId="8" fillId="0" borderId="0" xfId="0" applyFont="1" applyFill="1" applyBorder="1" applyAlignment="1">
      <alignment horizontal="left"/>
    </xf>
    <xf numFmtId="0" fontId="0" fillId="0" borderId="0" xfId="0" applyAlignment="1">
      <alignment horizontal="center"/>
    </xf>
    <xf numFmtId="0" fontId="0" fillId="0" borderId="12" xfId="0" applyBorder="1" applyAlignment="1">
      <alignment horizontal="center"/>
    </xf>
    <xf numFmtId="0" fontId="6" fillId="0" borderId="0" xfId="0" applyFont="1"/>
    <xf numFmtId="0" fontId="6" fillId="0" borderId="2" xfId="0" applyFont="1" applyBorder="1"/>
    <xf numFmtId="0" fontId="13" fillId="0" borderId="0" xfId="0" applyFont="1"/>
    <xf numFmtId="0" fontId="6" fillId="0" borderId="0" xfId="0" applyFont="1" applyAlignment="1">
      <alignment horizontal="center"/>
    </xf>
    <xf numFmtId="0" fontId="6" fillId="0" borderId="8" xfId="0" applyFont="1" applyBorder="1" applyAlignment="1">
      <alignment horizontal="left"/>
    </xf>
    <xf numFmtId="0" fontId="6" fillId="0" borderId="9" xfId="0" applyFont="1" applyBorder="1" applyAlignment="1">
      <alignment horizontal="center"/>
    </xf>
    <xf numFmtId="0" fontId="6" fillId="0" borderId="10" xfId="0" applyFont="1" applyBorder="1" applyAlignment="1">
      <alignment horizontal="center"/>
    </xf>
    <xf numFmtId="0" fontId="6" fillId="0" borderId="3" xfId="0" applyFont="1" applyBorder="1" applyAlignment="1">
      <alignment horizontal="right"/>
    </xf>
    <xf numFmtId="0" fontId="6" fillId="0" borderId="0" xfId="0" applyFont="1" applyBorder="1" applyAlignment="1">
      <alignment horizontal="left"/>
    </xf>
    <xf numFmtId="0" fontId="6" fillId="0" borderId="0" xfId="0" applyFont="1" applyBorder="1" applyAlignment="1">
      <alignment horizontal="center"/>
    </xf>
    <xf numFmtId="0" fontId="6" fillId="0" borderId="6" xfId="0" applyFont="1" applyBorder="1" applyAlignment="1">
      <alignment horizontal="center"/>
    </xf>
    <xf numFmtId="0" fontId="6" fillId="0" borderId="4" xfId="0" applyFont="1" applyBorder="1" applyAlignment="1">
      <alignment horizontal="right"/>
    </xf>
    <xf numFmtId="0" fontId="6" fillId="0" borderId="0" xfId="0" applyFont="1" applyBorder="1"/>
    <xf numFmtId="0" fontId="6" fillId="0" borderId="11" xfId="0" applyFont="1" applyBorder="1" applyAlignment="1">
      <alignment horizontal="right"/>
    </xf>
    <xf numFmtId="0" fontId="6" fillId="0" borderId="12" xfId="0" applyFont="1" applyBorder="1" applyAlignment="1">
      <alignment horizontal="left"/>
    </xf>
    <xf numFmtId="0" fontId="6" fillId="0" borderId="12" xfId="0" applyFont="1" applyBorder="1" applyAlignment="1">
      <alignment horizontal="center"/>
    </xf>
    <xf numFmtId="0" fontId="6" fillId="0" borderId="13" xfId="0" applyFont="1" applyBorder="1" applyAlignment="1">
      <alignment horizontal="center"/>
    </xf>
    <xf numFmtId="0" fontId="6" fillId="0" borderId="15" xfId="0" applyFont="1" applyBorder="1" applyAlignment="1">
      <alignment horizontal="right"/>
    </xf>
    <xf numFmtId="0" fontId="6" fillId="0" borderId="7" xfId="0" applyFont="1" applyBorder="1" applyAlignment="1">
      <alignment horizontal="left"/>
    </xf>
    <xf numFmtId="0" fontId="6" fillId="0" borderId="7" xfId="0" applyFont="1" applyBorder="1" applyAlignment="1">
      <alignment horizontal="center"/>
    </xf>
    <xf numFmtId="0" fontId="6" fillId="0" borderId="16" xfId="0" applyFont="1" applyBorder="1" applyAlignment="1">
      <alignment horizontal="center"/>
    </xf>
    <xf numFmtId="0" fontId="6" fillId="0" borderId="0" xfId="0" applyFont="1" applyAlignment="1">
      <alignment horizontal="left"/>
    </xf>
    <xf numFmtId="0" fontId="6" fillId="0" borderId="0" xfId="0" applyFont="1" applyFill="1"/>
    <xf numFmtId="0" fontId="16" fillId="0" borderId="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9" xfId="0" applyFont="1" applyFill="1" applyBorder="1" applyAlignment="1">
      <alignment horizontal="center" vertical="center" wrapText="1"/>
    </xf>
    <xf numFmtId="0" fontId="6" fillId="2" borderId="0" xfId="0" applyFont="1" applyFill="1"/>
    <xf numFmtId="2" fontId="6" fillId="0" borderId="12" xfId="0" applyNumberFormat="1" applyFont="1" applyBorder="1" applyAlignment="1">
      <alignment horizontal="center"/>
    </xf>
    <xf numFmtId="0" fontId="6" fillId="0" borderId="14" xfId="0" applyFont="1" applyBorder="1"/>
    <xf numFmtId="2" fontId="6" fillId="0" borderId="0" xfId="0" applyNumberFormat="1" applyFont="1" applyBorder="1" applyAlignment="1">
      <alignment horizontal="center"/>
    </xf>
    <xf numFmtId="0" fontId="6" fillId="0" borderId="15" xfId="0" applyFont="1" applyBorder="1"/>
    <xf numFmtId="0" fontId="6" fillId="0" borderId="3" xfId="0" applyFont="1" applyBorder="1"/>
    <xf numFmtId="0" fontId="6" fillId="0" borderId="4" xfId="0" applyFont="1" applyBorder="1"/>
    <xf numFmtId="0" fontId="6" fillId="0" borderId="5" xfId="0" applyFont="1" applyBorder="1"/>
    <xf numFmtId="0" fontId="16" fillId="0" borderId="11" xfId="0" applyFont="1" applyBorder="1" applyAlignment="1">
      <alignment horizontal="center" wrapText="1"/>
    </xf>
    <xf numFmtId="0" fontId="6" fillId="0" borderId="12" xfId="0" applyFont="1" applyBorder="1" applyAlignment="1">
      <alignment horizontal="center" wrapText="1"/>
    </xf>
    <xf numFmtId="0" fontId="6" fillId="0" borderId="6" xfId="0" applyFont="1" applyBorder="1"/>
    <xf numFmtId="0" fontId="6" fillId="0" borderId="7" xfId="0" applyFont="1" applyBorder="1"/>
    <xf numFmtId="0" fontId="6" fillId="0" borderId="16" xfId="0" applyFont="1" applyBorder="1"/>
    <xf numFmtId="0" fontId="16" fillId="0" borderId="13" xfId="0" applyFont="1" applyBorder="1" applyAlignment="1">
      <alignment horizontal="center" wrapText="1"/>
    </xf>
    <xf numFmtId="2" fontId="6" fillId="0" borderId="11" xfId="0" applyNumberFormat="1" applyFont="1" applyBorder="1" applyAlignment="1">
      <alignment horizontal="center"/>
    </xf>
    <xf numFmtId="2" fontId="6" fillId="0" borderId="14" xfId="0" applyNumberFormat="1" applyFont="1" applyBorder="1" applyAlignment="1">
      <alignment horizontal="center"/>
    </xf>
    <xf numFmtId="0" fontId="16" fillId="0" borderId="2" xfId="0" applyFont="1" applyBorder="1" applyAlignment="1">
      <alignment horizontal="center"/>
    </xf>
    <xf numFmtId="0" fontId="6" fillId="0" borderId="3" xfId="0" applyFont="1" applyBorder="1" applyAlignment="1">
      <alignment horizontal="center"/>
    </xf>
    <xf numFmtId="2" fontId="6" fillId="0" borderId="3" xfId="0" applyNumberFormat="1" applyFont="1" applyBorder="1" applyAlignment="1">
      <alignment horizontal="center"/>
    </xf>
    <xf numFmtId="0" fontId="6" fillId="0" borderId="4" xfId="0" applyFont="1" applyBorder="1" applyAlignment="1">
      <alignment horizontal="center"/>
    </xf>
    <xf numFmtId="2" fontId="6" fillId="0" borderId="4" xfId="0" applyNumberFormat="1" applyFont="1" applyBorder="1" applyAlignment="1">
      <alignment horizontal="center"/>
    </xf>
    <xf numFmtId="0" fontId="6" fillId="0" borderId="5" xfId="0" applyFont="1" applyBorder="1" applyAlignment="1">
      <alignment horizontal="center"/>
    </xf>
    <xf numFmtId="0" fontId="16" fillId="0" borderId="0" xfId="0" applyFont="1" applyBorder="1" applyAlignment="1">
      <alignment horizontal="center"/>
    </xf>
    <xf numFmtId="168" fontId="6" fillId="0" borderId="3" xfId="0" applyNumberFormat="1" applyFont="1" applyBorder="1" applyAlignment="1">
      <alignment horizontal="center"/>
    </xf>
    <xf numFmtId="168" fontId="6" fillId="0" borderId="4" xfId="0" applyNumberFormat="1" applyFont="1" applyBorder="1" applyAlignment="1">
      <alignment horizontal="center"/>
    </xf>
    <xf numFmtId="168" fontId="13" fillId="0" borderId="4" xfId="0" applyNumberFormat="1" applyFont="1" applyBorder="1" applyAlignment="1">
      <alignment horizontal="center"/>
    </xf>
    <xf numFmtId="0" fontId="6" fillId="0" borderId="2" xfId="0" applyFont="1" applyBorder="1" applyAlignment="1">
      <alignment horizontal="center"/>
    </xf>
    <xf numFmtId="173" fontId="6" fillId="0" borderId="4" xfId="0" applyNumberFormat="1" applyFont="1" applyBorder="1" applyAlignment="1">
      <alignment horizontal="center"/>
    </xf>
    <xf numFmtId="173" fontId="6" fillId="0" borderId="5" xfId="0" applyNumberFormat="1" applyFont="1" applyBorder="1" applyAlignment="1">
      <alignment horizontal="center"/>
    </xf>
    <xf numFmtId="0" fontId="16" fillId="2" borderId="2" xfId="0" applyFont="1" applyFill="1" applyBorder="1" applyAlignment="1">
      <alignment horizontal="center"/>
    </xf>
    <xf numFmtId="0" fontId="40" fillId="0" borderId="3" xfId="0" applyFont="1" applyBorder="1" applyAlignment="1">
      <alignment horizontal="center"/>
    </xf>
    <xf numFmtId="0" fontId="40" fillId="0" borderId="4" xfId="0" applyFont="1" applyBorder="1" applyAlignment="1">
      <alignment horizontal="center"/>
    </xf>
    <xf numFmtId="0" fontId="40" fillId="0" borderId="5" xfId="0" applyFont="1" applyBorder="1" applyAlignment="1">
      <alignment horizontal="center"/>
    </xf>
    <xf numFmtId="0" fontId="0" fillId="0" borderId="0" xfId="0" applyAlignment="1" applyProtection="1">
      <alignment vertical="center"/>
      <protection locked="0"/>
    </xf>
    <xf numFmtId="0" fontId="0" fillId="0" borderId="2" xfId="0" applyBorder="1" applyAlignment="1" applyProtection="1">
      <alignment vertical="center"/>
      <protection locked="0"/>
    </xf>
    <xf numFmtId="0" fontId="12" fillId="13" borderId="0" xfId="0" applyFont="1" applyFill="1" applyBorder="1"/>
    <xf numFmtId="0" fontId="45" fillId="13" borderId="0" xfId="0" applyFont="1" applyFill="1" applyBorder="1" applyAlignment="1">
      <alignment vertical="center"/>
    </xf>
    <xf numFmtId="0" fontId="45" fillId="13" borderId="0" xfId="0" applyFont="1" applyFill="1" applyBorder="1"/>
    <xf numFmtId="0" fontId="46" fillId="13" borderId="0" xfId="0" applyFont="1" applyFill="1" applyBorder="1" applyAlignment="1">
      <alignment horizontal="left" vertical="center" wrapText="1"/>
    </xf>
    <xf numFmtId="0" fontId="49" fillId="13" borderId="0" xfId="0" applyFont="1" applyFill="1" applyBorder="1" applyAlignment="1">
      <alignment horizontal="center" vertical="center"/>
    </xf>
    <xf numFmtId="0" fontId="0" fillId="0" borderId="11" xfId="0" applyBorder="1" applyAlignment="1">
      <alignment horizontal="center" vertical="center"/>
    </xf>
    <xf numFmtId="0" fontId="0" fillId="2" borderId="15" xfId="0" applyFill="1" applyBorder="1"/>
    <xf numFmtId="0" fontId="0" fillId="0" borderId="14" xfId="0" applyBorder="1" applyAlignment="1">
      <alignment horizontal="right"/>
    </xf>
    <xf numFmtId="0" fontId="0" fillId="0" borderId="15" xfId="0" applyBorder="1" applyAlignment="1">
      <alignment horizontal="right"/>
    </xf>
    <xf numFmtId="0" fontId="0" fillId="0" borderId="3" xfId="0" applyBorder="1" applyAlignment="1">
      <alignment horizontal="center"/>
    </xf>
    <xf numFmtId="2" fontId="0" fillId="0" borderId="4" xfId="0" applyNumberFormat="1" applyBorder="1" applyAlignment="1">
      <alignment horizontal="center"/>
    </xf>
    <xf numFmtId="0" fontId="0" fillId="0" borderId="5" xfId="0" applyBorder="1" applyAlignment="1">
      <alignment horizontal="center"/>
    </xf>
    <xf numFmtId="0" fontId="31" fillId="0" borderId="0" xfId="0" applyFont="1"/>
    <xf numFmtId="0" fontId="6" fillId="0" borderId="8" xfId="0" applyFont="1" applyBorder="1" applyAlignment="1">
      <alignment horizontal="center" vertical="center" wrapText="1"/>
    </xf>
    <xf numFmtId="49" fontId="6" fillId="0" borderId="3" xfId="0" applyNumberFormat="1" applyFont="1" applyBorder="1" applyAlignment="1">
      <alignment horizontal="center"/>
    </xf>
    <xf numFmtId="49" fontId="6" fillId="0" borderId="5" xfId="0" applyNumberFormat="1" applyFont="1" applyBorder="1" applyAlignment="1">
      <alignment horizontal="center"/>
    </xf>
    <xf numFmtId="0" fontId="40" fillId="0" borderId="15" xfId="0" applyFont="1" applyBorder="1" applyAlignment="1">
      <alignment horizontal="center"/>
    </xf>
    <xf numFmtId="0" fontId="0" fillId="0" borderId="0" xfId="0" applyAlignment="1">
      <alignment wrapText="1"/>
    </xf>
    <xf numFmtId="181" fontId="6" fillId="11" borderId="24" xfId="0" applyNumberFormat="1" applyFont="1" applyFill="1" applyBorder="1" applyAlignment="1" applyProtection="1">
      <alignment vertical="center"/>
      <protection locked="0"/>
    </xf>
    <xf numFmtId="181" fontId="6" fillId="11" borderId="27" xfId="0" applyNumberFormat="1" applyFont="1" applyFill="1" applyBorder="1" applyAlignment="1" applyProtection="1">
      <alignment vertical="center"/>
      <protection locked="0"/>
    </xf>
    <xf numFmtId="181" fontId="6" fillId="11" borderId="22" xfId="0" applyNumberFormat="1" applyFont="1" applyFill="1" applyBorder="1" applyAlignment="1" applyProtection="1">
      <alignment vertical="center"/>
      <protection locked="0"/>
    </xf>
    <xf numFmtId="181" fontId="6" fillId="11" borderId="18" xfId="0" applyNumberFormat="1" applyFont="1" applyFill="1" applyBorder="1" applyAlignment="1" applyProtection="1">
      <alignment vertical="center"/>
      <protection locked="0"/>
    </xf>
    <xf numFmtId="181" fontId="6" fillId="11" borderId="23" xfId="0" applyNumberFormat="1" applyFont="1" applyFill="1" applyBorder="1" applyAlignment="1" applyProtection="1">
      <alignment vertical="center"/>
      <protection locked="0"/>
    </xf>
    <xf numFmtId="0" fontId="0" fillId="2" borderId="0" xfId="0" applyFill="1"/>
    <xf numFmtId="49" fontId="0" fillId="0" borderId="8" xfId="0" applyNumberFormat="1" applyBorder="1" applyAlignment="1">
      <alignment horizontal="center"/>
    </xf>
    <xf numFmtId="49" fontId="0" fillId="0" borderId="9" xfId="0" applyNumberFormat="1" applyBorder="1" applyAlignment="1">
      <alignment horizontal="center"/>
    </xf>
    <xf numFmtId="49" fontId="0" fillId="0" borderId="10" xfId="0" applyNumberFormat="1" applyBorder="1" applyAlignment="1">
      <alignment horizontal="center"/>
    </xf>
    <xf numFmtId="49" fontId="0" fillId="0" borderId="3" xfId="0" applyNumberFormat="1" applyBorder="1"/>
    <xf numFmtId="49" fontId="0" fillId="0" borderId="4" xfId="0" applyNumberFormat="1" applyBorder="1"/>
    <xf numFmtId="49" fontId="0" fillId="0" borderId="5" xfId="0" applyNumberFormat="1" applyBorder="1"/>
    <xf numFmtId="0" fontId="0" fillId="0" borderId="11"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0" xfId="0" applyBorder="1" applyAlignment="1">
      <alignment horizontal="center"/>
    </xf>
    <xf numFmtId="0" fontId="0" fillId="0" borderId="6" xfId="0" applyBorder="1" applyAlignment="1">
      <alignment horizontal="center"/>
    </xf>
    <xf numFmtId="0" fontId="0" fillId="0" borderId="15" xfId="0" applyBorder="1" applyAlignment="1">
      <alignment horizontal="center"/>
    </xf>
    <xf numFmtId="0" fontId="0" fillId="0" borderId="7" xfId="0" applyBorder="1" applyAlignment="1">
      <alignment horizontal="center"/>
    </xf>
    <xf numFmtId="0" fontId="0" fillId="0" borderId="16" xfId="0" applyBorder="1" applyAlignment="1">
      <alignment horizontal="center"/>
    </xf>
    <xf numFmtId="0" fontId="0" fillId="0" borderId="2" xfId="0" applyBorder="1"/>
    <xf numFmtId="186" fontId="6" fillId="11" borderId="24" xfId="0" applyNumberFormat="1" applyFont="1" applyFill="1" applyBorder="1" applyAlignment="1" applyProtection="1">
      <alignment vertical="center"/>
      <protection locked="0"/>
    </xf>
    <xf numFmtId="0" fontId="16" fillId="0" borderId="9" xfId="0" applyFont="1" applyFill="1" applyBorder="1" applyAlignment="1">
      <alignment horizontal="center" vertical="center" wrapText="1"/>
    </xf>
    <xf numFmtId="2" fontId="0" fillId="0" borderId="3" xfId="0" applyNumberFormat="1" applyBorder="1" applyAlignment="1">
      <alignment horizontal="center"/>
    </xf>
    <xf numFmtId="2" fontId="0" fillId="0" borderId="5" xfId="0" applyNumberFormat="1" applyBorder="1" applyAlignment="1">
      <alignment horizontal="center"/>
    </xf>
    <xf numFmtId="0" fontId="0" fillId="0" borderId="2" xfId="0" applyBorder="1" applyAlignment="1">
      <alignment horizontal="center" vertical="center"/>
    </xf>
    <xf numFmtId="169" fontId="6" fillId="0" borderId="2" xfId="0" applyNumberFormat="1" applyFont="1" applyBorder="1" applyAlignment="1">
      <alignment horizontal="center"/>
    </xf>
    <xf numFmtId="0" fontId="6"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2" xfId="0" applyBorder="1" applyAlignment="1">
      <alignment horizontal="center"/>
    </xf>
    <xf numFmtId="0" fontId="0" fillId="0" borderId="4" xfId="0" applyBorder="1" applyAlignment="1">
      <alignment horizontal="center"/>
    </xf>
    <xf numFmtId="0" fontId="0" fillId="0" borderId="0" xfId="0" applyAlignment="1" applyProtection="1">
      <alignment vertical="center"/>
    </xf>
    <xf numFmtId="0" fontId="6" fillId="0" borderId="0" xfId="0" applyFont="1" applyFill="1" applyBorder="1" applyAlignment="1" applyProtection="1">
      <alignment vertical="center"/>
    </xf>
    <xf numFmtId="0" fontId="20" fillId="0" borderId="0" xfId="0" applyFont="1" applyFill="1" applyBorder="1" applyAlignment="1" applyProtection="1">
      <alignment vertical="center"/>
    </xf>
    <xf numFmtId="0" fontId="0" fillId="0" borderId="0" xfId="0" applyAlignment="1" applyProtection="1">
      <alignment horizontal="right" vertical="center"/>
    </xf>
    <xf numFmtId="0" fontId="23" fillId="7" borderId="0" xfId="1" applyFont="1" applyFill="1" applyBorder="1" applyAlignment="1" applyProtection="1">
      <alignment vertical="center"/>
    </xf>
    <xf numFmtId="0" fontId="0" fillId="7" borderId="0" xfId="0" applyFill="1" applyBorder="1" applyAlignment="1" applyProtection="1">
      <alignment vertical="center"/>
    </xf>
    <xf numFmtId="0" fontId="43" fillId="11" borderId="0" xfId="0" applyFont="1" applyFill="1" applyBorder="1" applyAlignment="1" applyProtection="1">
      <alignment vertical="center"/>
    </xf>
    <xf numFmtId="0" fontId="25" fillId="11" borderId="0" xfId="0" applyFont="1" applyFill="1" applyAlignment="1" applyProtection="1">
      <alignment vertical="center"/>
    </xf>
    <xf numFmtId="0" fontId="44" fillId="11" borderId="0" xfId="0" applyFont="1" applyFill="1" applyBorder="1" applyAlignment="1" applyProtection="1">
      <alignment horizontal="center" vertical="top"/>
    </xf>
    <xf numFmtId="0" fontId="0" fillId="11" borderId="0" xfId="0" applyFill="1" applyAlignment="1" applyProtection="1">
      <alignment vertical="center"/>
    </xf>
    <xf numFmtId="0" fontId="24" fillId="8" borderId="17" xfId="0" applyFont="1" applyFill="1" applyBorder="1" applyAlignment="1" applyProtection="1">
      <alignment vertical="center" wrapText="1"/>
    </xf>
    <xf numFmtId="0" fontId="26" fillId="8" borderId="17" xfId="1" applyFont="1" applyFill="1" applyBorder="1" applyAlignment="1" applyProtection="1">
      <alignment vertical="center"/>
    </xf>
    <xf numFmtId="0" fontId="3" fillId="8" borderId="17" xfId="1" applyFill="1" applyBorder="1" applyAlignment="1" applyProtection="1">
      <alignment horizontal="left" vertical="center"/>
    </xf>
    <xf numFmtId="0" fontId="0" fillId="8" borderId="17" xfId="0" applyFill="1" applyBorder="1" applyAlignment="1" applyProtection="1">
      <alignment vertical="center"/>
    </xf>
    <xf numFmtId="0" fontId="0" fillId="8" borderId="0" xfId="3" applyFont="1" applyFill="1" applyBorder="1" applyAlignment="1" applyProtection="1">
      <alignment vertical="center"/>
    </xf>
    <xf numFmtId="0" fontId="0" fillId="8" borderId="0" xfId="0" applyFill="1" applyBorder="1" applyAlignment="1" applyProtection="1">
      <alignment vertical="center"/>
    </xf>
    <xf numFmtId="0" fontId="0" fillId="8" borderId="0" xfId="3" applyFont="1" applyFill="1" applyAlignment="1" applyProtection="1">
      <alignment vertical="center"/>
    </xf>
    <xf numFmtId="0" fontId="0" fillId="8" borderId="0" xfId="0" applyFill="1" applyAlignment="1" applyProtection="1">
      <alignment vertical="center"/>
    </xf>
    <xf numFmtId="0" fontId="32" fillId="0" borderId="0" xfId="0" applyFont="1" applyFill="1" applyBorder="1" applyAlignment="1" applyProtection="1">
      <alignment vertical="center"/>
    </xf>
    <xf numFmtId="164" fontId="20" fillId="12" borderId="0" xfId="0" applyNumberFormat="1" applyFont="1" applyFill="1" applyBorder="1" applyAlignment="1" applyProtection="1">
      <alignment vertical="center"/>
    </xf>
    <xf numFmtId="164" fontId="20" fillId="0" borderId="0" xfId="0" applyNumberFormat="1" applyFont="1" applyFill="1" applyBorder="1" applyAlignment="1" applyProtection="1">
      <alignment vertical="center"/>
    </xf>
    <xf numFmtId="0" fontId="10" fillId="9" borderId="25" xfId="2" applyFont="1" applyFill="1" applyBorder="1" applyAlignment="1" applyProtection="1">
      <alignment vertical="center"/>
    </xf>
    <xf numFmtId="0" fontId="0" fillId="9" borderId="25" xfId="0" applyFill="1" applyBorder="1" applyAlignment="1" applyProtection="1">
      <alignment vertical="center"/>
    </xf>
    <xf numFmtId="0" fontId="6" fillId="0" borderId="0" xfId="0" applyFont="1" applyFill="1" applyAlignment="1" applyProtection="1">
      <alignment vertical="center"/>
    </xf>
    <xf numFmtId="0" fontId="5" fillId="7" borderId="0" xfId="2" applyFont="1" applyFill="1" applyBorder="1" applyAlignment="1" applyProtection="1">
      <alignment vertical="center"/>
    </xf>
    <xf numFmtId="0" fontId="0" fillId="7" borderId="0" xfId="0" applyFill="1" applyAlignment="1" applyProtection="1">
      <alignment vertical="center"/>
    </xf>
    <xf numFmtId="0" fontId="5" fillId="10" borderId="0" xfId="4" applyFont="1" applyFill="1" applyBorder="1" applyAlignment="1" applyProtection="1">
      <alignment vertical="center"/>
    </xf>
    <xf numFmtId="0" fontId="5" fillId="10" borderId="0" xfId="4" applyFont="1" applyFill="1" applyBorder="1" applyAlignment="1" applyProtection="1">
      <alignment horizontal="center" vertical="center" wrapText="1"/>
    </xf>
    <xf numFmtId="0" fontId="5" fillId="10" borderId="0" xfId="5" applyFont="1" applyFill="1" applyBorder="1" applyAlignment="1" applyProtection="1">
      <alignment horizontal="center" vertical="center" wrapText="1"/>
    </xf>
    <xf numFmtId="0" fontId="0" fillId="0" borderId="2" xfId="0" applyBorder="1" applyAlignment="1" applyProtection="1">
      <alignment vertical="center"/>
    </xf>
    <xf numFmtId="0" fontId="6" fillId="8" borderId="0" xfId="3" applyFont="1" applyFill="1" applyBorder="1" applyAlignment="1" applyProtection="1">
      <alignment vertical="center"/>
    </xf>
    <xf numFmtId="0" fontId="0" fillId="8" borderId="26" xfId="0" applyFill="1" applyBorder="1" applyAlignment="1" applyProtection="1">
      <alignment vertical="center"/>
    </xf>
    <xf numFmtId="0" fontId="16" fillId="8" borderId="0" xfId="0" applyFont="1" applyFill="1" applyBorder="1" applyAlignment="1" applyProtection="1">
      <alignment horizontal="center" vertical="center"/>
    </xf>
    <xf numFmtId="0" fontId="34" fillId="0" borderId="29" xfId="0" applyFont="1" applyFill="1" applyBorder="1" applyAlignment="1" applyProtection="1">
      <alignment vertical="center"/>
    </xf>
    <xf numFmtId="0" fontId="32" fillId="0" borderId="30" xfId="0" applyFont="1" applyFill="1" applyBorder="1" applyAlignment="1" applyProtection="1">
      <alignment vertical="center"/>
    </xf>
    <xf numFmtId="0" fontId="20" fillId="0" borderId="30" xfId="0" applyFont="1" applyFill="1" applyBorder="1" applyAlignment="1" applyProtection="1">
      <alignment vertical="center"/>
    </xf>
    <xf numFmtId="0" fontId="20" fillId="0" borderId="31" xfId="0" applyFont="1" applyFill="1" applyBorder="1" applyAlignment="1" applyProtection="1">
      <alignment vertical="center"/>
    </xf>
    <xf numFmtId="0" fontId="0" fillId="8" borderId="24" xfId="0" applyFill="1" applyBorder="1" applyAlignment="1" applyProtection="1">
      <alignment vertical="center"/>
    </xf>
    <xf numFmtId="0" fontId="0" fillId="8" borderId="27" xfId="0" applyFill="1" applyBorder="1" applyAlignment="1" applyProtection="1">
      <alignment vertical="center"/>
    </xf>
    <xf numFmtId="0" fontId="6" fillId="0" borderId="32" xfId="0" applyFont="1" applyFill="1" applyBorder="1" applyAlignment="1" applyProtection="1">
      <alignment vertical="center"/>
    </xf>
    <xf numFmtId="0" fontId="32" fillId="0" borderId="8" xfId="0" applyFont="1" applyFill="1" applyBorder="1" applyAlignment="1" applyProtection="1">
      <alignment vertical="center"/>
    </xf>
    <xf numFmtId="0" fontId="32" fillId="0" borderId="10" xfId="0" applyFont="1" applyFill="1" applyBorder="1" applyAlignment="1" applyProtection="1">
      <alignment vertical="center"/>
    </xf>
    <xf numFmtId="0" fontId="32" fillId="0" borderId="11" xfId="0" applyFont="1" applyFill="1" applyBorder="1" applyAlignment="1" applyProtection="1">
      <alignment vertical="center"/>
    </xf>
    <xf numFmtId="0" fontId="32" fillId="0" borderId="12" xfId="0" applyFont="1" applyFill="1" applyBorder="1" applyAlignment="1" applyProtection="1">
      <alignment vertical="center"/>
    </xf>
    <xf numFmtId="0" fontId="32" fillId="0" borderId="33" xfId="0" applyFont="1" applyFill="1" applyBorder="1" applyAlignment="1" applyProtection="1">
      <alignment vertical="center"/>
    </xf>
    <xf numFmtId="0" fontId="32" fillId="0" borderId="32" xfId="0" applyFont="1" applyFill="1" applyBorder="1" applyAlignment="1" applyProtection="1">
      <alignment vertical="center"/>
    </xf>
    <xf numFmtId="0" fontId="32" fillId="0" borderId="13" xfId="0" applyFont="1" applyFill="1" applyBorder="1" applyAlignment="1" applyProtection="1">
      <alignment vertical="center"/>
    </xf>
    <xf numFmtId="0" fontId="20" fillId="0" borderId="12" xfId="0" applyFont="1" applyFill="1" applyBorder="1" applyAlignment="1" applyProtection="1">
      <alignment vertical="center"/>
    </xf>
    <xf numFmtId="0" fontId="20" fillId="0" borderId="33" xfId="0" applyFont="1" applyFill="1" applyBorder="1" applyAlignment="1" applyProtection="1">
      <alignment vertical="center"/>
    </xf>
    <xf numFmtId="0" fontId="20" fillId="0" borderId="32" xfId="0" applyFont="1" applyFill="1" applyBorder="1" applyAlignment="1" applyProtection="1">
      <alignment vertical="center"/>
    </xf>
    <xf numFmtId="0" fontId="32" fillId="0" borderId="15" xfId="0" applyFont="1" applyFill="1" applyBorder="1" applyAlignment="1" applyProtection="1">
      <alignment vertical="center"/>
    </xf>
    <xf numFmtId="0" fontId="32" fillId="0" borderId="16" xfId="0" applyFont="1" applyFill="1" applyBorder="1" applyAlignment="1" applyProtection="1">
      <alignment vertical="center"/>
    </xf>
    <xf numFmtId="0" fontId="20" fillId="0" borderId="7" xfId="0" applyFont="1" applyFill="1" applyBorder="1" applyAlignment="1" applyProtection="1">
      <alignment vertical="center"/>
    </xf>
    <xf numFmtId="0" fontId="20" fillId="0" borderId="34" xfId="0" applyFont="1" applyFill="1" applyBorder="1" applyAlignment="1" applyProtection="1">
      <alignment vertical="center"/>
    </xf>
    <xf numFmtId="0" fontId="14" fillId="8" borderId="0" xfId="3" applyFont="1" applyFill="1" applyBorder="1" applyAlignment="1" applyProtection="1">
      <alignment vertical="center"/>
    </xf>
    <xf numFmtId="166" fontId="6" fillId="8" borderId="24" xfId="0" applyNumberFormat="1" applyFont="1" applyFill="1" applyBorder="1" applyAlignment="1" applyProtection="1">
      <alignment horizontal="right" vertical="center"/>
    </xf>
    <xf numFmtId="166" fontId="6" fillId="8" borderId="27" xfId="0" applyNumberFormat="1" applyFont="1" applyFill="1" applyBorder="1" applyAlignment="1" applyProtection="1">
      <alignment vertical="center"/>
    </xf>
    <xf numFmtId="181" fontId="6" fillId="8" borderId="24" xfId="0" applyNumberFormat="1" applyFont="1" applyFill="1" applyBorder="1" applyAlignment="1" applyProtection="1">
      <alignment vertical="center"/>
    </xf>
    <xf numFmtId="181" fontId="6" fillId="8" borderId="27" xfId="0" applyNumberFormat="1" applyFont="1" applyFill="1" applyBorder="1" applyAlignment="1" applyProtection="1">
      <alignment vertical="center"/>
    </xf>
    <xf numFmtId="0" fontId="6" fillId="8" borderId="0" xfId="0" applyFont="1" applyFill="1" applyBorder="1" applyAlignment="1" applyProtection="1">
      <alignment vertical="center"/>
    </xf>
    <xf numFmtId="164" fontId="6" fillId="8" borderId="24" xfId="0" applyNumberFormat="1" applyFont="1" applyFill="1" applyBorder="1" applyAlignment="1" applyProtection="1">
      <alignment vertical="center"/>
    </xf>
    <xf numFmtId="164" fontId="6" fillId="8" borderId="27" xfId="0" applyNumberFormat="1" applyFont="1" applyFill="1" applyBorder="1" applyAlignment="1" applyProtection="1">
      <alignment vertical="center"/>
    </xf>
    <xf numFmtId="0" fontId="20" fillId="0" borderId="35" xfId="0" applyFont="1" applyFill="1" applyBorder="1" applyAlignment="1" applyProtection="1">
      <alignment vertical="center"/>
    </xf>
    <xf numFmtId="0" fontId="0" fillId="0" borderId="0" xfId="0" applyBorder="1" applyAlignment="1" applyProtection="1">
      <alignment vertical="center"/>
    </xf>
    <xf numFmtId="1" fontId="6" fillId="8" borderId="24" xfId="0" applyNumberFormat="1" applyFont="1" applyFill="1" applyBorder="1" applyAlignment="1" applyProtection="1">
      <alignment vertical="center"/>
    </xf>
    <xf numFmtId="1" fontId="6" fillId="8" borderId="27" xfId="0" applyNumberFormat="1" applyFont="1" applyFill="1" applyBorder="1" applyAlignment="1" applyProtection="1">
      <alignment vertical="center"/>
    </xf>
    <xf numFmtId="1" fontId="51" fillId="8" borderId="24" xfId="0" applyNumberFormat="1" applyFont="1" applyFill="1" applyBorder="1" applyAlignment="1" applyProtection="1">
      <alignment vertical="center"/>
    </xf>
    <xf numFmtId="0" fontId="39" fillId="8" borderId="0" xfId="3" applyFont="1" applyFill="1" applyBorder="1" applyAlignment="1" applyProtection="1">
      <alignment vertical="center"/>
    </xf>
    <xf numFmtId="0" fontId="28" fillId="8" borderId="17" xfId="0" applyFont="1" applyFill="1" applyBorder="1" applyAlignment="1" applyProtection="1">
      <alignment horizontal="center" vertical="center"/>
    </xf>
    <xf numFmtId="0" fontId="6" fillId="8" borderId="17" xfId="3" applyFont="1" applyFill="1" applyBorder="1" applyAlignment="1" applyProtection="1">
      <alignment vertical="center"/>
    </xf>
    <xf numFmtId="0" fontId="20" fillId="0" borderId="13" xfId="0" applyFont="1" applyFill="1" applyBorder="1" applyAlignment="1" applyProtection="1">
      <alignment vertical="center"/>
    </xf>
    <xf numFmtId="0" fontId="6" fillId="8" borderId="24" xfId="3" applyFont="1" applyFill="1" applyBorder="1" applyAlignment="1" applyProtection="1">
      <alignment vertical="center"/>
    </xf>
    <xf numFmtId="0" fontId="33" fillId="0" borderId="36" xfId="0" applyFont="1" applyFill="1" applyBorder="1" applyAlignment="1" applyProtection="1">
      <alignment vertical="center"/>
    </xf>
    <xf numFmtId="0" fontId="20" fillId="12" borderId="15" xfId="0" applyFont="1" applyFill="1" applyBorder="1" applyAlignment="1" applyProtection="1">
      <alignment vertical="center"/>
    </xf>
    <xf numFmtId="0" fontId="20" fillId="0" borderId="16" xfId="0" applyFont="1" applyFill="1" applyBorder="1" applyAlignment="1" applyProtection="1">
      <alignment vertical="center"/>
    </xf>
    <xf numFmtId="0" fontId="20" fillId="0" borderId="15" xfId="0" applyFont="1" applyFill="1" applyBorder="1" applyAlignment="1" applyProtection="1">
      <alignment vertical="center"/>
    </xf>
    <xf numFmtId="0" fontId="0" fillId="10" borderId="0" xfId="0" applyFill="1" applyAlignment="1" applyProtection="1">
      <alignment vertical="center"/>
    </xf>
    <xf numFmtId="0" fontId="16" fillId="0" borderId="32" xfId="0" applyFont="1" applyFill="1" applyBorder="1" applyAlignment="1" applyProtection="1">
      <alignment vertical="center"/>
    </xf>
    <xf numFmtId="0" fontId="0" fillId="0" borderId="3" xfId="0" applyBorder="1" applyAlignment="1" applyProtection="1">
      <alignment vertical="center"/>
    </xf>
    <xf numFmtId="0" fontId="0" fillId="8" borderId="19" xfId="0" applyFont="1" applyFill="1" applyBorder="1" applyAlignment="1" applyProtection="1">
      <alignment vertical="center"/>
    </xf>
    <xf numFmtId="0" fontId="0" fillId="8" borderId="20" xfId="0" applyFill="1" applyBorder="1" applyAlignment="1" applyProtection="1">
      <alignment vertical="center"/>
    </xf>
    <xf numFmtId="0" fontId="0" fillId="8" borderId="21" xfId="0" applyFill="1" applyBorder="1" applyAlignment="1" applyProtection="1">
      <alignment vertical="center"/>
    </xf>
    <xf numFmtId="0" fontId="20" fillId="0" borderId="11" xfId="0" applyFont="1" applyFill="1" applyBorder="1" applyAlignment="1" applyProtection="1">
      <alignment vertical="center"/>
    </xf>
    <xf numFmtId="0" fontId="0" fillId="8" borderId="22" xfId="0" applyFill="1" applyBorder="1" applyAlignment="1" applyProtection="1">
      <alignment vertical="center"/>
    </xf>
    <xf numFmtId="0" fontId="0" fillId="8" borderId="18" xfId="0" applyFill="1" applyBorder="1" applyAlignment="1" applyProtection="1">
      <alignment vertical="center"/>
    </xf>
    <xf numFmtId="0" fontId="0" fillId="8" borderId="23" xfId="0" applyFill="1" applyBorder="1" applyAlignment="1" applyProtection="1">
      <alignment vertical="center"/>
    </xf>
    <xf numFmtId="0" fontId="33" fillId="0" borderId="37" xfId="0" applyFont="1" applyFill="1" applyBorder="1" applyAlignment="1" applyProtection="1">
      <alignment vertical="center"/>
    </xf>
    <xf numFmtId="0" fontId="20" fillId="12" borderId="14" xfId="0" applyFont="1" applyFill="1" applyBorder="1" applyAlignment="1" applyProtection="1">
      <alignment vertical="center"/>
    </xf>
    <xf numFmtId="0" fontId="20" fillId="0" borderId="6" xfId="0" applyFont="1" applyFill="1" applyBorder="1" applyAlignment="1" applyProtection="1">
      <alignment vertical="center"/>
    </xf>
    <xf numFmtId="0" fontId="32" fillId="0" borderId="7" xfId="0" applyFont="1" applyFill="1" applyBorder="1" applyAlignment="1" applyProtection="1">
      <alignment vertical="center"/>
    </xf>
    <xf numFmtId="0" fontId="32" fillId="0" borderId="34" xfId="0" applyFont="1" applyFill="1" applyBorder="1" applyAlignment="1" applyProtection="1">
      <alignment vertical="center"/>
    </xf>
    <xf numFmtId="0" fontId="32" fillId="0" borderId="2" xfId="0" applyFont="1" applyFill="1" applyBorder="1" applyAlignment="1" applyProtection="1">
      <alignment vertical="center"/>
    </xf>
    <xf numFmtId="172" fontId="20" fillId="0" borderId="13" xfId="0" applyNumberFormat="1" applyFont="1" applyFill="1" applyBorder="1" applyAlignment="1" applyProtection="1">
      <alignment vertical="center"/>
    </xf>
    <xf numFmtId="0" fontId="20" fillId="0" borderId="14" xfId="0" applyFont="1" applyFill="1" applyBorder="1" applyAlignment="1" applyProtection="1">
      <alignment vertical="center"/>
    </xf>
    <xf numFmtId="0" fontId="32" fillId="0" borderId="3" xfId="0" applyFont="1" applyFill="1" applyBorder="1" applyAlignment="1" applyProtection="1">
      <alignment vertical="center"/>
    </xf>
    <xf numFmtId="0" fontId="32" fillId="0" borderId="5" xfId="0" applyFont="1" applyFill="1" applyBorder="1" applyAlignment="1" applyProtection="1">
      <alignment vertical="center"/>
    </xf>
    <xf numFmtId="2" fontId="0" fillId="0" borderId="2" xfId="0" applyNumberFormat="1" applyBorder="1" applyAlignment="1" applyProtection="1">
      <alignment vertical="center"/>
    </xf>
    <xf numFmtId="181" fontId="6" fillId="8" borderId="18" xfId="0" applyNumberFormat="1" applyFont="1" applyFill="1" applyBorder="1" applyAlignment="1" applyProtection="1">
      <alignment vertical="center"/>
    </xf>
    <xf numFmtId="181" fontId="14" fillId="8" borderId="23" xfId="0" applyNumberFormat="1" applyFont="1" applyFill="1" applyBorder="1" applyAlignment="1" applyProtection="1">
      <alignment vertical="center"/>
    </xf>
    <xf numFmtId="172" fontId="20" fillId="0" borderId="12" xfId="0" applyNumberFormat="1" applyFont="1" applyFill="1" applyBorder="1" applyAlignment="1" applyProtection="1">
      <alignment vertical="center"/>
    </xf>
    <xf numFmtId="0" fontId="5" fillId="7" borderId="28" xfId="2" applyFont="1" applyFill="1" applyBorder="1" applyAlignment="1" applyProtection="1">
      <alignment vertical="center"/>
    </xf>
    <xf numFmtId="0" fontId="0" fillId="7" borderId="28" xfId="0" applyFill="1" applyBorder="1" applyAlignment="1" applyProtection="1">
      <alignment vertical="center"/>
    </xf>
    <xf numFmtId="0" fontId="6" fillId="8" borderId="0" xfId="3" applyFont="1" applyFill="1" applyBorder="1" applyAlignment="1" applyProtection="1">
      <alignment horizontal="left" vertical="center"/>
    </xf>
    <xf numFmtId="0" fontId="6" fillId="0" borderId="38" xfId="0" applyFont="1" applyFill="1" applyBorder="1" applyAlignment="1" applyProtection="1">
      <alignment vertical="center"/>
    </xf>
    <xf numFmtId="0" fontId="32" fillId="0" borderId="39" xfId="0" applyFont="1" applyFill="1" applyBorder="1" applyAlignment="1" applyProtection="1">
      <alignment vertical="center"/>
    </xf>
    <xf numFmtId="0" fontId="32" fillId="0" borderId="40" xfId="0" applyFont="1" applyFill="1" applyBorder="1" applyAlignment="1" applyProtection="1">
      <alignment vertical="center"/>
    </xf>
    <xf numFmtId="0" fontId="20" fillId="0" borderId="41" xfId="0" applyFont="1" applyFill="1" applyBorder="1" applyAlignment="1" applyProtection="1">
      <alignment vertical="center"/>
    </xf>
    <xf numFmtId="0" fontId="20" fillId="0" borderId="40" xfId="0" applyFont="1" applyFill="1" applyBorder="1" applyAlignment="1" applyProtection="1">
      <alignment vertical="center"/>
    </xf>
    <xf numFmtId="0" fontId="20" fillId="0" borderId="39" xfId="0" applyFont="1" applyFill="1" applyBorder="1" applyAlignment="1" applyProtection="1">
      <alignment vertical="center"/>
    </xf>
    <xf numFmtId="0" fontId="20" fillId="0" borderId="42" xfId="0" applyFont="1" applyFill="1" applyBorder="1" applyAlignment="1" applyProtection="1">
      <alignment vertical="center"/>
    </xf>
    <xf numFmtId="0" fontId="20" fillId="0" borderId="38" xfId="0" applyFont="1" applyFill="1" applyBorder="1" applyAlignment="1" applyProtection="1">
      <alignment vertical="center"/>
    </xf>
    <xf numFmtId="0" fontId="6" fillId="8" borderId="17" xfId="3" applyFont="1" applyFill="1" applyBorder="1" applyAlignment="1" applyProtection="1">
      <alignment horizontal="left" vertical="center"/>
    </xf>
    <xf numFmtId="165" fontId="6" fillId="8" borderId="0" xfId="0" applyNumberFormat="1" applyFont="1" applyFill="1" applyBorder="1" applyAlignment="1" applyProtection="1">
      <alignment vertical="center"/>
    </xf>
    <xf numFmtId="0" fontId="6" fillId="0" borderId="30" xfId="0" applyFont="1" applyFill="1" applyBorder="1" applyAlignment="1" applyProtection="1">
      <alignment vertical="center"/>
    </xf>
    <xf numFmtId="0" fontId="32" fillId="0" borderId="43" xfId="0" applyFont="1" applyFill="1" applyBorder="1" applyAlignment="1" applyProtection="1">
      <alignment vertical="center"/>
    </xf>
    <xf numFmtId="0" fontId="32" fillId="0" borderId="44" xfId="0" applyFont="1" applyFill="1" applyBorder="1" applyAlignment="1" applyProtection="1">
      <alignment vertical="center"/>
    </xf>
    <xf numFmtId="0" fontId="32" fillId="0" borderId="45" xfId="0" applyFont="1" applyFill="1" applyBorder="1" applyAlignment="1" applyProtection="1">
      <alignment vertical="center"/>
    </xf>
    <xf numFmtId="0" fontId="20" fillId="0" borderId="4" xfId="0" applyFont="1" applyFill="1" applyBorder="1" applyAlignment="1" applyProtection="1">
      <alignment vertical="center"/>
    </xf>
    <xf numFmtId="0" fontId="6" fillId="8" borderId="25" xfId="3" applyFont="1" applyFill="1" applyBorder="1" applyAlignment="1" applyProtection="1">
      <alignment horizontal="left" vertical="center"/>
    </xf>
    <xf numFmtId="0" fontId="6" fillId="8" borderId="25" xfId="3" applyFont="1" applyFill="1" applyBorder="1" applyAlignment="1" applyProtection="1">
      <alignment vertical="center"/>
    </xf>
    <xf numFmtId="0" fontId="0" fillId="8" borderId="25" xfId="0" applyFill="1" applyBorder="1" applyAlignment="1" applyProtection="1">
      <alignment vertical="center"/>
    </xf>
    <xf numFmtId="0" fontId="32" fillId="0" borderId="9" xfId="0" applyFont="1" applyFill="1" applyBorder="1" applyAlignment="1" applyProtection="1">
      <alignment vertical="center"/>
    </xf>
    <xf numFmtId="0" fontId="32" fillId="0" borderId="4" xfId="0" applyFont="1" applyFill="1" applyBorder="1" applyAlignment="1" applyProtection="1">
      <alignment vertical="center"/>
    </xf>
    <xf numFmtId="172" fontId="6" fillId="8" borderId="18" xfId="0" applyNumberFormat="1" applyFont="1" applyFill="1" applyBorder="1" applyAlignment="1" applyProtection="1">
      <alignment vertical="center"/>
    </xf>
    <xf numFmtId="0" fontId="32" fillId="0" borderId="14" xfId="0" applyFont="1" applyFill="1" applyBorder="1" applyAlignment="1" applyProtection="1">
      <alignment vertical="center"/>
    </xf>
    <xf numFmtId="0" fontId="32" fillId="0" borderId="6" xfId="0" applyFont="1" applyFill="1" applyBorder="1" applyAlignment="1" applyProtection="1">
      <alignment vertical="center"/>
    </xf>
    <xf numFmtId="2" fontId="20" fillId="0" borderId="0" xfId="0" applyNumberFormat="1" applyFont="1" applyFill="1" applyBorder="1" applyAlignment="1" applyProtection="1">
      <alignment vertical="center"/>
    </xf>
    <xf numFmtId="2" fontId="20" fillId="0" borderId="6" xfId="0" applyNumberFormat="1" applyFont="1" applyFill="1" applyBorder="1" applyAlignment="1" applyProtection="1">
      <alignment vertical="center"/>
    </xf>
    <xf numFmtId="0" fontId="6" fillId="8" borderId="24" xfId="3" applyFont="1" applyFill="1" applyBorder="1" applyAlignment="1" applyProtection="1">
      <alignment horizontal="left" vertical="center"/>
    </xf>
    <xf numFmtId="2" fontId="20" fillId="0" borderId="7" xfId="0" applyNumberFormat="1" applyFont="1" applyFill="1" applyBorder="1" applyAlignment="1" applyProtection="1">
      <alignment vertical="center"/>
    </xf>
    <xf numFmtId="2" fontId="20" fillId="0" borderId="16" xfId="0" applyNumberFormat="1" applyFont="1" applyFill="1" applyBorder="1" applyAlignment="1" applyProtection="1">
      <alignment vertical="center"/>
    </xf>
    <xf numFmtId="0" fontId="0" fillId="10" borderId="0" xfId="0" applyFill="1" applyBorder="1" applyAlignment="1" applyProtection="1">
      <alignment vertical="center"/>
    </xf>
    <xf numFmtId="178" fontId="6" fillId="8" borderId="0" xfId="3" applyNumberFormat="1" applyFont="1" applyFill="1" applyBorder="1" applyAlignment="1" applyProtection="1">
      <alignment vertical="center"/>
    </xf>
    <xf numFmtId="0" fontId="21" fillId="0" borderId="32" xfId="0" applyFont="1" applyFill="1" applyBorder="1" applyAlignment="1" applyProtection="1">
      <alignment vertical="center"/>
    </xf>
    <xf numFmtId="2" fontId="20" fillId="0" borderId="11" xfId="0" applyNumberFormat="1" applyFont="1" applyFill="1" applyBorder="1" applyAlignment="1" applyProtection="1">
      <alignment vertical="center"/>
    </xf>
    <xf numFmtId="2" fontId="20" fillId="0" borderId="13" xfId="0" applyNumberFormat="1" applyFont="1" applyFill="1" applyBorder="1" applyAlignment="1" applyProtection="1">
      <alignment vertical="center"/>
    </xf>
    <xf numFmtId="172" fontId="6" fillId="8" borderId="25" xfId="3" applyNumberFormat="1" applyFont="1" applyFill="1" applyBorder="1" applyAlignment="1" applyProtection="1">
      <alignment vertical="center"/>
    </xf>
    <xf numFmtId="2" fontId="20" fillId="0" borderId="15" xfId="0" applyNumberFormat="1" applyFont="1" applyFill="1" applyBorder="1" applyAlignment="1" applyProtection="1">
      <alignment vertical="center"/>
    </xf>
    <xf numFmtId="178" fontId="6" fillId="8" borderId="0" xfId="3" applyNumberFormat="1" applyFont="1" applyFill="1" applyBorder="1" applyAlignment="1" applyProtection="1">
      <alignment horizontal="right" vertical="center"/>
    </xf>
    <xf numFmtId="178" fontId="6" fillId="8" borderId="17" xfId="3" applyNumberFormat="1" applyFont="1" applyFill="1" applyBorder="1" applyAlignment="1" applyProtection="1">
      <alignment horizontal="right" vertical="center"/>
    </xf>
    <xf numFmtId="172" fontId="6" fillId="8" borderId="23" xfId="3" applyNumberFormat="1" applyFont="1" applyFill="1" applyBorder="1" applyAlignment="1" applyProtection="1">
      <alignment vertical="center"/>
    </xf>
    <xf numFmtId="172" fontId="6" fillId="8" borderId="0" xfId="3" applyNumberFormat="1" applyFont="1" applyFill="1" applyBorder="1" applyAlignment="1" applyProtection="1">
      <alignment vertical="center"/>
    </xf>
    <xf numFmtId="172" fontId="6" fillId="8" borderId="0" xfId="3" applyNumberFormat="1" applyFont="1" applyFill="1" applyBorder="1" applyAlignment="1" applyProtection="1">
      <alignment horizontal="right" vertical="center"/>
    </xf>
    <xf numFmtId="0" fontId="6" fillId="0" borderId="35" xfId="0" applyFont="1" applyFill="1" applyBorder="1" applyAlignment="1" applyProtection="1">
      <alignment vertical="center"/>
    </xf>
    <xf numFmtId="0" fontId="6" fillId="8" borderId="24" xfId="3" applyFont="1" applyFill="1" applyBorder="1" applyAlignment="1" applyProtection="1">
      <alignment horizontal="right" vertical="center"/>
    </xf>
    <xf numFmtId="0" fontId="6" fillId="8" borderId="24" xfId="0" applyFont="1" applyFill="1" applyBorder="1" applyAlignment="1" applyProtection="1">
      <alignment horizontal="center" vertical="center"/>
    </xf>
    <xf numFmtId="0" fontId="5" fillId="7" borderId="0" xfId="2" applyFont="1" applyFill="1" applyBorder="1" applyAlignment="1" applyProtection="1">
      <alignment horizontal="center" vertical="center"/>
    </xf>
    <xf numFmtId="0" fontId="52" fillId="10" borderId="0" xfId="4" applyFont="1" applyFill="1" applyBorder="1" applyAlignment="1" applyProtection="1">
      <alignment horizontal="center" vertical="center"/>
    </xf>
    <xf numFmtId="172" fontId="6" fillId="8" borderId="0" xfId="0" applyNumberFormat="1" applyFont="1" applyFill="1" applyAlignment="1" applyProtection="1">
      <alignment vertical="center"/>
    </xf>
    <xf numFmtId="0" fontId="6" fillId="8" borderId="0" xfId="0" applyFont="1" applyFill="1" applyAlignment="1" applyProtection="1">
      <alignment vertical="center"/>
    </xf>
    <xf numFmtId="0" fontId="6" fillId="11" borderId="0" xfId="3" applyFont="1" applyFill="1" applyBorder="1" applyAlignment="1" applyProtection="1">
      <alignment vertical="center"/>
    </xf>
    <xf numFmtId="175" fontId="6" fillId="11" borderId="0" xfId="0" applyNumberFormat="1" applyFont="1" applyFill="1" applyAlignment="1" applyProtection="1">
      <alignment vertical="center"/>
    </xf>
    <xf numFmtId="0" fontId="6" fillId="11" borderId="0" xfId="0" applyFont="1" applyFill="1" applyAlignment="1" applyProtection="1">
      <alignment vertical="center"/>
    </xf>
    <xf numFmtId="0" fontId="21" fillId="0" borderId="0" xfId="0" applyFont="1" applyFill="1" applyBorder="1" applyAlignment="1" applyProtection="1">
      <alignment vertical="center"/>
    </xf>
    <xf numFmtId="0" fontId="33" fillId="0" borderId="8" xfId="0" applyFont="1" applyFill="1" applyBorder="1" applyAlignment="1" applyProtection="1">
      <alignment vertical="center"/>
    </xf>
    <xf numFmtId="181" fontId="6" fillId="8" borderId="0" xfId="0" applyNumberFormat="1" applyFont="1" applyFill="1" applyAlignment="1" applyProtection="1">
      <alignment vertical="center"/>
    </xf>
    <xf numFmtId="0" fontId="8" fillId="11" borderId="0" xfId="0" applyFont="1" applyFill="1" applyBorder="1" applyAlignment="1" applyProtection="1">
      <alignment horizontal="left" vertical="center"/>
    </xf>
    <xf numFmtId="170" fontId="6" fillId="11" borderId="0" xfId="0" applyNumberFormat="1" applyFont="1" applyFill="1" applyAlignment="1" applyProtection="1">
      <alignment vertical="center"/>
    </xf>
    <xf numFmtId="0" fontId="20" fillId="0" borderId="46" xfId="0" applyFont="1" applyFill="1" applyBorder="1" applyAlignment="1" applyProtection="1">
      <alignment vertical="center"/>
    </xf>
    <xf numFmtId="0" fontId="6" fillId="0" borderId="42" xfId="0" applyFont="1" applyFill="1" applyBorder="1" applyAlignment="1" applyProtection="1">
      <alignment vertical="center"/>
    </xf>
    <xf numFmtId="0" fontId="16" fillId="8" borderId="0" xfId="3" applyFont="1" applyFill="1" applyBorder="1" applyAlignment="1" applyProtection="1">
      <alignment vertical="center"/>
    </xf>
    <xf numFmtId="172" fontId="16" fillId="8" borderId="0" xfId="3" applyNumberFormat="1" applyFont="1" applyFill="1" applyBorder="1" applyAlignment="1" applyProtection="1">
      <alignment vertical="center"/>
    </xf>
    <xf numFmtId="0" fontId="16" fillId="11" borderId="0" xfId="3" applyFont="1" applyFill="1" applyBorder="1" applyAlignment="1" applyProtection="1">
      <alignment vertical="center"/>
    </xf>
    <xf numFmtId="0" fontId="18" fillId="11" borderId="0" xfId="3" applyFont="1" applyFill="1" applyBorder="1" applyAlignment="1" applyProtection="1">
      <alignment vertical="center"/>
    </xf>
    <xf numFmtId="169" fontId="16" fillId="11" borderId="0" xfId="3" applyNumberFormat="1" applyFont="1" applyFill="1" applyBorder="1" applyAlignment="1" applyProtection="1">
      <alignment horizontal="right" vertical="center"/>
    </xf>
    <xf numFmtId="0" fontId="6" fillId="11" borderId="0" xfId="0" applyFont="1" applyFill="1" applyBorder="1" applyAlignment="1" applyProtection="1">
      <alignment vertical="center"/>
    </xf>
    <xf numFmtId="0" fontId="18" fillId="8" borderId="0" xfId="3" applyFont="1" applyFill="1" applyBorder="1" applyAlignment="1" applyProtection="1">
      <alignment vertical="center"/>
    </xf>
    <xf numFmtId="170" fontId="29" fillId="8" borderId="0" xfId="3" applyNumberFormat="1" applyFont="1" applyFill="1" applyBorder="1" applyAlignment="1" applyProtection="1">
      <alignment horizontal="right" vertical="center"/>
    </xf>
    <xf numFmtId="0" fontId="9" fillId="8" borderId="0" xfId="3" applyFont="1" applyFill="1" applyBorder="1" applyAlignment="1" applyProtection="1">
      <alignment vertical="center"/>
    </xf>
    <xf numFmtId="170" fontId="2" fillId="8" borderId="0" xfId="3" applyNumberFormat="1" applyFont="1" applyFill="1" applyBorder="1" applyAlignment="1" applyProtection="1">
      <alignment horizontal="right" vertical="center"/>
    </xf>
    <xf numFmtId="0" fontId="9" fillId="11" borderId="0" xfId="3" applyFont="1" applyFill="1" applyBorder="1" applyAlignment="1" applyProtection="1">
      <alignment vertical="center"/>
    </xf>
    <xf numFmtId="170" fontId="2" fillId="11" borderId="0" xfId="3" applyNumberFormat="1" applyFont="1" applyFill="1" applyBorder="1" applyAlignment="1" applyProtection="1">
      <alignment horizontal="right" vertical="center"/>
    </xf>
    <xf numFmtId="169" fontId="16" fillId="8" borderId="0" xfId="3" applyNumberFormat="1" applyFont="1" applyFill="1" applyBorder="1" applyAlignment="1" applyProtection="1">
      <alignment horizontal="right" vertical="center"/>
    </xf>
    <xf numFmtId="0" fontId="6" fillId="0" borderId="31" xfId="0" applyFont="1" applyFill="1" applyBorder="1" applyAlignment="1" applyProtection="1">
      <alignment vertical="center"/>
    </xf>
    <xf numFmtId="0" fontId="10" fillId="10" borderId="0" xfId="3" applyFont="1" applyFill="1" applyBorder="1" applyAlignment="1" applyProtection="1">
      <alignment horizontal="left" vertical="center" indent="2"/>
    </xf>
    <xf numFmtId="0" fontId="5" fillId="10" borderId="0" xfId="3" applyFont="1" applyFill="1" applyBorder="1" applyAlignment="1" applyProtection="1">
      <alignment vertical="center"/>
    </xf>
    <xf numFmtId="166" fontId="5" fillId="10" borderId="0" xfId="3" applyNumberFormat="1" applyFont="1" applyFill="1" applyBorder="1" applyAlignment="1" applyProtection="1">
      <alignment horizontal="right" vertical="center"/>
    </xf>
    <xf numFmtId="166" fontId="10" fillId="10" borderId="0" xfId="3" applyNumberFormat="1" applyFont="1" applyFill="1" applyBorder="1" applyAlignment="1" applyProtection="1">
      <alignment horizontal="left" vertical="center" indent="3"/>
    </xf>
    <xf numFmtId="0" fontId="5" fillId="10" borderId="0" xfId="0" applyFont="1" applyFill="1" applyAlignment="1" applyProtection="1">
      <alignment vertical="center"/>
    </xf>
    <xf numFmtId="166" fontId="6" fillId="8" borderId="0" xfId="3" applyNumberFormat="1" applyFont="1" applyFill="1" applyBorder="1" applyAlignment="1" applyProtection="1">
      <alignment horizontal="right" vertical="center"/>
    </xf>
    <xf numFmtId="2" fontId="20" fillId="0" borderId="3" xfId="0" applyNumberFormat="1" applyFont="1" applyFill="1" applyBorder="1" applyAlignment="1" applyProtection="1">
      <alignment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0" fillId="0" borderId="5" xfId="0" applyFont="1" applyFill="1" applyBorder="1" applyAlignment="1" applyProtection="1">
      <alignment vertical="center"/>
    </xf>
    <xf numFmtId="0" fontId="35" fillId="0" borderId="9" xfId="0" applyFont="1" applyFill="1" applyBorder="1" applyAlignment="1" applyProtection="1">
      <alignment horizontal="left" vertical="center"/>
    </xf>
    <xf numFmtId="2" fontId="5" fillId="10" borderId="0" xfId="0" applyNumberFormat="1" applyFont="1" applyFill="1" applyAlignment="1" applyProtection="1">
      <alignment vertical="center"/>
    </xf>
    <xf numFmtId="2" fontId="10" fillId="10" borderId="0" xfId="0" applyNumberFormat="1" applyFont="1" applyFill="1" applyAlignment="1" applyProtection="1">
      <alignment horizontal="left" vertical="center" indent="3"/>
    </xf>
    <xf numFmtId="164" fontId="6" fillId="8" borderId="0" xfId="0" applyNumberFormat="1" applyFont="1" applyFill="1" applyAlignment="1" applyProtection="1">
      <alignment vertical="center"/>
    </xf>
    <xf numFmtId="0" fontId="10" fillId="9" borderId="0" xfId="2" applyFont="1" applyFill="1" applyBorder="1" applyAlignment="1" applyProtection="1">
      <alignment vertical="center"/>
    </xf>
    <xf numFmtId="0" fontId="10" fillId="9" borderId="0" xfId="0" applyFont="1" applyFill="1" applyBorder="1" applyAlignment="1" applyProtection="1">
      <alignment horizontal="left" vertical="center" indent="2"/>
    </xf>
    <xf numFmtId="0" fontId="0" fillId="9" borderId="0" xfId="0" applyFill="1" applyBorder="1" applyAlignment="1" applyProtection="1">
      <alignment vertical="center"/>
    </xf>
    <xf numFmtId="0" fontId="39" fillId="8" borderId="0" xfId="3" applyFont="1" applyFill="1" applyBorder="1" applyAlignment="1" applyProtection="1">
      <alignment horizontal="right" vertical="center"/>
    </xf>
    <xf numFmtId="0" fontId="0" fillId="0" borderId="4" xfId="0" applyBorder="1" applyAlignment="1" applyProtection="1">
      <alignment vertical="center"/>
    </xf>
    <xf numFmtId="0" fontId="6" fillId="11" borderId="0" xfId="3" applyFont="1" applyFill="1" applyBorder="1" applyAlignment="1" applyProtection="1">
      <alignment horizontal="right" vertical="center"/>
    </xf>
    <xf numFmtId="1" fontId="6" fillId="8" borderId="0" xfId="3" applyNumberFormat="1" applyFont="1" applyFill="1" applyBorder="1" applyAlignment="1" applyProtection="1">
      <alignment horizontal="right" vertical="center"/>
    </xf>
    <xf numFmtId="0" fontId="14" fillId="11" borderId="0" xfId="3" applyFont="1" applyFill="1" applyBorder="1" applyAlignment="1" applyProtection="1">
      <alignment vertical="center"/>
    </xf>
    <xf numFmtId="2" fontId="6" fillId="11" borderId="0" xfId="3" applyNumberFormat="1" applyFont="1" applyFill="1" applyBorder="1" applyAlignment="1" applyProtection="1">
      <alignment horizontal="right" vertical="center" wrapText="1"/>
    </xf>
    <xf numFmtId="0" fontId="0" fillId="0" borderId="5" xfId="0" applyBorder="1" applyAlignment="1" applyProtection="1">
      <alignment vertical="center"/>
    </xf>
    <xf numFmtId="188" fontId="6" fillId="8" borderId="0" xfId="3" applyNumberFormat="1" applyFont="1" applyFill="1" applyBorder="1" applyAlignment="1" applyProtection="1">
      <alignment horizontal="right" vertical="center" wrapText="1"/>
    </xf>
    <xf numFmtId="2" fontId="6" fillId="8" borderId="0" xfId="3" applyNumberFormat="1" applyFont="1" applyFill="1" applyBorder="1" applyAlignment="1" applyProtection="1">
      <alignment horizontal="right" vertical="center"/>
    </xf>
    <xf numFmtId="0" fontId="1" fillId="11" borderId="0" xfId="3" applyFont="1" applyFill="1" applyBorder="1" applyAlignment="1" applyProtection="1">
      <alignment vertical="center"/>
    </xf>
    <xf numFmtId="2" fontId="6" fillId="11" borderId="0" xfId="3" applyNumberFormat="1" applyFont="1" applyFill="1" applyBorder="1" applyAlignment="1" applyProtection="1">
      <alignment horizontal="right" vertical="center"/>
    </xf>
    <xf numFmtId="181" fontId="6" fillId="8" borderId="0" xfId="3" applyNumberFormat="1" applyFont="1" applyFill="1" applyBorder="1" applyAlignment="1" applyProtection="1">
      <alignment horizontal="right" vertical="center"/>
    </xf>
    <xf numFmtId="0" fontId="6" fillId="8" borderId="0" xfId="3" applyFont="1" applyFill="1" applyBorder="1" applyAlignment="1" applyProtection="1">
      <alignment horizontal="right" vertical="center"/>
    </xf>
    <xf numFmtId="181" fontId="6" fillId="11" borderId="0" xfId="3" applyNumberFormat="1" applyFont="1" applyFill="1" applyBorder="1" applyAlignment="1" applyProtection="1">
      <alignment horizontal="right" vertical="center"/>
    </xf>
    <xf numFmtId="174" fontId="6" fillId="11" borderId="0" xfId="3" applyNumberFormat="1" applyFont="1" applyFill="1" applyBorder="1" applyAlignment="1" applyProtection="1">
      <alignment horizontal="right" vertical="center"/>
    </xf>
    <xf numFmtId="187" fontId="6" fillId="11" borderId="0" xfId="3" applyNumberFormat="1" applyFont="1" applyFill="1" applyBorder="1" applyAlignment="1" applyProtection="1">
      <alignment horizontal="right" vertical="center"/>
    </xf>
    <xf numFmtId="1" fontId="6" fillId="11" borderId="0" xfId="3" applyNumberFormat="1" applyFont="1" applyFill="1" applyBorder="1" applyAlignment="1" applyProtection="1">
      <alignment horizontal="right" vertical="center"/>
    </xf>
    <xf numFmtId="183" fontId="6" fillId="11" borderId="0" xfId="3" applyNumberFormat="1" applyFont="1" applyFill="1" applyBorder="1" applyAlignment="1" applyProtection="1">
      <alignment horizontal="right" vertical="center"/>
    </xf>
    <xf numFmtId="183" fontId="6" fillId="8" borderId="0" xfId="3" applyNumberFormat="1" applyFont="1" applyFill="1" applyBorder="1" applyAlignment="1" applyProtection="1">
      <alignment horizontal="right" vertical="center"/>
    </xf>
    <xf numFmtId="169" fontId="6" fillId="8" borderId="0" xfId="3" applyNumberFormat="1" applyFont="1" applyFill="1" applyBorder="1" applyAlignment="1" applyProtection="1">
      <alignment horizontal="right" vertical="center"/>
    </xf>
    <xf numFmtId="169" fontId="6" fillId="11" borderId="0" xfId="3" applyNumberFormat="1" applyFont="1" applyFill="1" applyBorder="1" applyAlignment="1" applyProtection="1">
      <alignment horizontal="right" vertical="center"/>
    </xf>
    <xf numFmtId="185" fontId="6" fillId="11" borderId="0" xfId="3" applyNumberFormat="1" applyFont="1" applyFill="1" applyBorder="1" applyAlignment="1" applyProtection="1">
      <alignment horizontal="right" vertical="center"/>
    </xf>
    <xf numFmtId="184" fontId="6" fillId="8" borderId="0" xfId="3" applyNumberFormat="1" applyFont="1" applyFill="1" applyBorder="1" applyAlignment="1" applyProtection="1">
      <alignment horizontal="right" vertical="center"/>
    </xf>
    <xf numFmtId="164" fontId="6" fillId="11" borderId="0" xfId="3" applyNumberFormat="1" applyFont="1" applyFill="1" applyBorder="1" applyAlignment="1" applyProtection="1">
      <alignment horizontal="right" vertical="center"/>
    </xf>
    <xf numFmtId="0" fontId="39" fillId="11" borderId="0" xfId="3" applyFont="1" applyFill="1" applyBorder="1" applyAlignment="1" applyProtection="1">
      <alignment vertical="center"/>
    </xf>
    <xf numFmtId="176" fontId="6" fillId="8" borderId="0" xfId="3" applyNumberFormat="1" applyFont="1" applyFill="1" applyBorder="1" applyAlignment="1" applyProtection="1">
      <alignment horizontal="right" vertical="center"/>
    </xf>
    <xf numFmtId="180" fontId="6" fillId="11" borderId="0" xfId="3" applyNumberFormat="1" applyFont="1" applyFill="1" applyBorder="1" applyAlignment="1" applyProtection="1">
      <alignment horizontal="right" vertical="center"/>
    </xf>
    <xf numFmtId="180" fontId="6" fillId="8" borderId="0" xfId="3" applyNumberFormat="1" applyFont="1" applyFill="1" applyBorder="1" applyAlignment="1" applyProtection="1">
      <alignment horizontal="right" vertical="center"/>
    </xf>
    <xf numFmtId="0" fontId="8" fillId="8" borderId="0" xfId="0" applyFont="1" applyFill="1" applyBorder="1" applyAlignment="1" applyProtection="1">
      <alignment horizontal="left" vertical="center"/>
    </xf>
    <xf numFmtId="168" fontId="6" fillId="8" borderId="0" xfId="3" applyNumberFormat="1" applyFont="1" applyFill="1" applyBorder="1" applyAlignment="1" applyProtection="1">
      <alignment horizontal="right" vertical="center"/>
    </xf>
    <xf numFmtId="179" fontId="6" fillId="11" borderId="0" xfId="3" applyNumberFormat="1" applyFont="1" applyFill="1" applyBorder="1" applyAlignment="1" applyProtection="1">
      <alignment horizontal="right" vertical="center"/>
    </xf>
    <xf numFmtId="177" fontId="6" fillId="8" borderId="0" xfId="3" applyNumberFormat="1" applyFont="1" applyFill="1" applyBorder="1" applyAlignment="1" applyProtection="1">
      <alignment horizontal="right" vertical="center"/>
    </xf>
    <xf numFmtId="177" fontId="6" fillId="11" borderId="0" xfId="3" applyNumberFormat="1" applyFont="1" applyFill="1" applyBorder="1" applyAlignment="1" applyProtection="1">
      <alignment horizontal="right" vertical="center"/>
    </xf>
    <xf numFmtId="2" fontId="53" fillId="8" borderId="0" xfId="3" applyNumberFormat="1" applyFont="1" applyFill="1" applyBorder="1" applyAlignment="1" applyProtection="1">
      <alignment horizontal="center" vertical="center"/>
    </xf>
    <xf numFmtId="167" fontId="6" fillId="8" borderId="0" xfId="3" applyNumberFormat="1" applyFont="1" applyFill="1" applyBorder="1" applyAlignment="1" applyProtection="1">
      <alignment horizontal="right" vertical="center"/>
    </xf>
    <xf numFmtId="167" fontId="6" fillId="11" borderId="0" xfId="3" applyNumberFormat="1" applyFont="1" applyFill="1" applyBorder="1" applyAlignment="1" applyProtection="1">
      <alignment horizontal="right" vertical="center"/>
    </xf>
    <xf numFmtId="168" fontId="6" fillId="11" borderId="0" xfId="3" applyNumberFormat="1" applyFont="1" applyFill="1" applyBorder="1" applyAlignment="1" applyProtection="1">
      <alignment horizontal="right" vertical="center"/>
    </xf>
    <xf numFmtId="179" fontId="6" fillId="8" borderId="0" xfId="3" applyNumberFormat="1" applyFont="1" applyFill="1" applyBorder="1" applyAlignment="1" applyProtection="1">
      <alignment horizontal="right" vertical="center"/>
    </xf>
    <xf numFmtId="175" fontId="6" fillId="11" borderId="0" xfId="3" applyNumberFormat="1" applyFont="1" applyFill="1" applyBorder="1" applyAlignment="1" applyProtection="1">
      <alignment horizontal="right" vertical="center"/>
    </xf>
    <xf numFmtId="165" fontId="6" fillId="8" borderId="0" xfId="3" applyNumberFormat="1" applyFont="1" applyFill="1" applyBorder="1" applyAlignment="1" applyProtection="1">
      <alignment horizontal="right" vertical="center"/>
    </xf>
    <xf numFmtId="0" fontId="6" fillId="11" borderId="0" xfId="3" applyFont="1" applyFill="1" applyBorder="1" applyAlignment="1" applyProtection="1">
      <alignment horizontal="left" vertical="center"/>
    </xf>
    <xf numFmtId="165" fontId="6" fillId="11" borderId="0" xfId="3" applyNumberFormat="1" applyFont="1" applyFill="1" applyBorder="1" applyAlignment="1" applyProtection="1">
      <alignment horizontal="right" vertical="center"/>
    </xf>
    <xf numFmtId="178" fontId="6" fillId="11" borderId="0" xfId="3" applyNumberFormat="1" applyFont="1" applyFill="1" applyBorder="1" applyAlignment="1" applyProtection="1">
      <alignment vertical="center"/>
    </xf>
    <xf numFmtId="172" fontId="6" fillId="11" borderId="0" xfId="3" applyNumberFormat="1" applyFont="1" applyFill="1" applyBorder="1" applyAlignment="1" applyProtection="1">
      <alignment vertical="center"/>
    </xf>
    <xf numFmtId="0" fontId="0" fillId="11" borderId="0" xfId="0" applyFill="1" applyBorder="1" applyAlignment="1" applyProtection="1">
      <alignment vertical="center"/>
    </xf>
    <xf numFmtId="2" fontId="0" fillId="0" borderId="0" xfId="0" applyNumberFormat="1" applyBorder="1" applyAlignment="1" applyProtection="1">
      <alignment vertical="center"/>
    </xf>
    <xf numFmtId="175" fontId="6" fillId="8" borderId="0" xfId="3" applyNumberFormat="1" applyFont="1" applyFill="1" applyBorder="1" applyAlignment="1" applyProtection="1">
      <alignment horizontal="right" vertical="center"/>
    </xf>
    <xf numFmtId="171" fontId="6" fillId="8" borderId="0" xfId="3" applyNumberFormat="1" applyFont="1" applyFill="1" applyBorder="1" applyAlignment="1" applyProtection="1">
      <alignment vertical="center"/>
    </xf>
    <xf numFmtId="171" fontId="6" fillId="11" borderId="0" xfId="3" applyNumberFormat="1" applyFont="1" applyFill="1" applyBorder="1" applyAlignment="1" applyProtection="1">
      <alignment vertical="center"/>
    </xf>
    <xf numFmtId="171" fontId="14" fillId="8" borderId="0" xfId="3" applyNumberFormat="1" applyFont="1" applyFill="1" applyBorder="1" applyAlignment="1" applyProtection="1">
      <alignment vertical="center"/>
    </xf>
    <xf numFmtId="0" fontId="14" fillId="8" borderId="0" xfId="3" applyFont="1" applyFill="1" applyBorder="1" applyAlignment="1" applyProtection="1">
      <alignment horizontal="left" vertical="center"/>
    </xf>
    <xf numFmtId="171" fontId="14" fillId="11" borderId="0" xfId="3" applyNumberFormat="1" applyFont="1" applyFill="1" applyBorder="1" applyAlignment="1" applyProtection="1">
      <alignment vertical="center"/>
    </xf>
    <xf numFmtId="0" fontId="14" fillId="11" borderId="0" xfId="3" applyFont="1" applyFill="1" applyBorder="1" applyAlignment="1" applyProtection="1">
      <alignment horizontal="left" vertical="center"/>
    </xf>
    <xf numFmtId="170" fontId="6" fillId="8" borderId="0" xfId="3" applyNumberFormat="1" applyFont="1" applyFill="1" applyBorder="1" applyAlignment="1" applyProtection="1">
      <alignment vertical="center"/>
    </xf>
    <xf numFmtId="172" fontId="16" fillId="11" borderId="0" xfId="3" applyNumberFormat="1" applyFont="1" applyFill="1" applyBorder="1" applyAlignment="1" applyProtection="1">
      <alignment vertical="center"/>
    </xf>
    <xf numFmtId="0" fontId="8" fillId="11" borderId="0" xfId="3" applyFont="1" applyFill="1" applyBorder="1" applyAlignment="1" applyProtection="1">
      <alignment vertical="center"/>
    </xf>
    <xf numFmtId="169" fontId="14" fillId="8" borderId="0" xfId="3" applyNumberFormat="1" applyFont="1" applyFill="1" applyBorder="1" applyAlignment="1" applyProtection="1">
      <alignment horizontal="right" vertical="center"/>
    </xf>
    <xf numFmtId="189" fontId="14" fillId="8" borderId="0" xfId="3" applyNumberFormat="1" applyFont="1" applyFill="1" applyBorder="1" applyAlignment="1" applyProtection="1">
      <alignment horizontal="left" vertical="center"/>
    </xf>
    <xf numFmtId="0" fontId="55" fillId="8" borderId="0" xfId="3" applyFont="1" applyFill="1" applyBorder="1" applyAlignment="1" applyProtection="1">
      <alignment vertical="center"/>
    </xf>
    <xf numFmtId="0" fontId="54" fillId="8" borderId="0" xfId="3" applyFont="1" applyFill="1" applyBorder="1" applyAlignment="1" applyProtection="1">
      <alignment vertical="center"/>
    </xf>
    <xf numFmtId="189" fontId="6" fillId="11" borderId="0" xfId="3" applyNumberFormat="1" applyFont="1" applyFill="1" applyBorder="1" applyAlignment="1" applyProtection="1">
      <alignment horizontal="left" vertical="center"/>
    </xf>
    <xf numFmtId="169" fontId="55" fillId="8" borderId="0" xfId="3" applyNumberFormat="1" applyFont="1" applyFill="1" applyBorder="1" applyAlignment="1" applyProtection="1">
      <alignment horizontal="right" vertical="center"/>
    </xf>
    <xf numFmtId="0" fontId="6" fillId="8" borderId="0" xfId="3" applyFont="1" applyFill="1" applyBorder="1" applyAlignment="1" applyProtection="1">
      <alignment horizontal="center" vertical="center"/>
    </xf>
    <xf numFmtId="171" fontId="6" fillId="11" borderId="0" xfId="3" applyNumberFormat="1" applyFont="1" applyFill="1" applyBorder="1" applyAlignment="1" applyProtection="1">
      <alignment horizontal="right" vertical="center"/>
    </xf>
    <xf numFmtId="0" fontId="20" fillId="11" borderId="0" xfId="0" applyFont="1" applyFill="1" applyBorder="1" applyAlignment="1" applyProtection="1">
      <alignment vertical="center"/>
    </xf>
    <xf numFmtId="0" fontId="14" fillId="11" borderId="0" xfId="3" applyFont="1" applyFill="1" applyBorder="1" applyAlignment="1" applyProtection="1">
      <alignment horizontal="center" vertical="center"/>
    </xf>
    <xf numFmtId="165" fontId="6" fillId="11" borderId="19" xfId="0" applyNumberFormat="1" applyFont="1" applyFill="1" applyBorder="1" applyAlignment="1" applyProtection="1">
      <alignment vertical="center"/>
      <protection locked="0"/>
    </xf>
    <xf numFmtId="165" fontId="6" fillId="11" borderId="20" xfId="0" applyNumberFormat="1" applyFont="1" applyFill="1" applyBorder="1" applyAlignment="1" applyProtection="1">
      <alignment vertical="center"/>
      <protection locked="0"/>
    </xf>
    <xf numFmtId="165" fontId="6" fillId="11" borderId="21" xfId="0" applyNumberFormat="1" applyFont="1" applyFill="1" applyBorder="1" applyAlignment="1" applyProtection="1">
      <alignment vertical="center"/>
      <protection locked="0"/>
    </xf>
    <xf numFmtId="165" fontId="6" fillId="11" borderId="22" xfId="0" applyNumberFormat="1" applyFont="1" applyFill="1" applyBorder="1" applyAlignment="1" applyProtection="1">
      <alignment vertical="center"/>
      <protection locked="0"/>
    </xf>
    <xf numFmtId="165" fontId="6" fillId="11" borderId="18" xfId="0" applyNumberFormat="1" applyFont="1" applyFill="1" applyBorder="1" applyAlignment="1" applyProtection="1">
      <alignment vertical="center"/>
      <protection locked="0"/>
    </xf>
    <xf numFmtId="165" fontId="6" fillId="11" borderId="23" xfId="0" applyNumberFormat="1" applyFont="1" applyFill="1" applyBorder="1" applyAlignment="1" applyProtection="1">
      <alignment vertical="center"/>
      <protection locked="0"/>
    </xf>
    <xf numFmtId="172" fontId="6" fillId="11" borderId="18" xfId="0" applyNumberFormat="1" applyFont="1" applyFill="1" applyBorder="1" applyAlignment="1" applyProtection="1">
      <alignment vertical="center"/>
      <protection locked="0"/>
    </xf>
    <xf numFmtId="0" fontId="0" fillId="0" borderId="2" xfId="0" applyBorder="1" applyAlignment="1" applyProtection="1">
      <alignment horizontal="center" vertical="center"/>
    </xf>
    <xf numFmtId="0" fontId="57" fillId="10" borderId="0" xfId="4" applyFont="1" applyFill="1" applyBorder="1" applyAlignment="1" applyProtection="1">
      <alignment horizontal="center" vertical="center"/>
    </xf>
    <xf numFmtId="0" fontId="6" fillId="7" borderId="0" xfId="3" applyFont="1" applyFill="1" applyBorder="1" applyAlignment="1" applyProtection="1">
      <alignment vertical="center"/>
    </xf>
    <xf numFmtId="0" fontId="6" fillId="7" borderId="0" xfId="0" applyFont="1" applyFill="1" applyAlignment="1" applyProtection="1">
      <alignment vertical="center"/>
    </xf>
    <xf numFmtId="0" fontId="5" fillId="7" borderId="0" xfId="3" applyFont="1" applyFill="1" applyBorder="1" applyAlignment="1" applyProtection="1">
      <alignment vertical="center"/>
    </xf>
    <xf numFmtId="0" fontId="6" fillId="8" borderId="0" xfId="3" applyFont="1" applyFill="1" applyBorder="1" applyAlignment="1" applyProtection="1">
      <alignment horizontal="left" vertical="center" indent="1"/>
    </xf>
    <xf numFmtId="0" fontId="60" fillId="7" borderId="0" xfId="0" applyFont="1" applyFill="1" applyAlignment="1">
      <alignment horizontal="center" vertical="center"/>
    </xf>
    <xf numFmtId="164" fontId="63" fillId="8" borderId="24" xfId="0" applyNumberFormat="1" applyFont="1" applyFill="1" applyBorder="1" applyAlignment="1" applyProtection="1">
      <alignment vertical="center"/>
    </xf>
    <xf numFmtId="164" fontId="63" fillId="8" borderId="24" xfId="0" applyNumberFormat="1" applyFont="1" applyFill="1" applyBorder="1" applyAlignment="1" applyProtection="1">
      <alignment horizontal="right" vertical="center"/>
    </xf>
    <xf numFmtId="0" fontId="3" fillId="7" borderId="0" xfId="1" applyFill="1" applyBorder="1" applyAlignment="1" applyProtection="1">
      <alignment horizontal="left" vertical="center"/>
    </xf>
    <xf numFmtId="169" fontId="6" fillId="8" borderId="52" xfId="0" applyNumberFormat="1" applyFont="1" applyFill="1" applyBorder="1" applyAlignment="1" applyProtection="1">
      <alignment vertical="center"/>
    </xf>
    <xf numFmtId="169" fontId="6" fillId="8" borderId="53" xfId="0" applyNumberFormat="1" applyFont="1" applyFill="1" applyBorder="1" applyAlignment="1" applyProtection="1">
      <alignment vertical="center"/>
    </xf>
    <xf numFmtId="178" fontId="6" fillId="11" borderId="17" xfId="3" applyNumberFormat="1" applyFont="1" applyFill="1" applyBorder="1" applyAlignment="1" applyProtection="1">
      <alignment vertical="center"/>
    </xf>
    <xf numFmtId="178" fontId="6" fillId="11" borderId="20" xfId="3" applyNumberFormat="1" applyFont="1" applyFill="1" applyBorder="1" applyAlignment="1" applyProtection="1">
      <alignment vertical="center"/>
    </xf>
    <xf numFmtId="178" fontId="6" fillId="11" borderId="24" xfId="3" applyNumberFormat="1" applyFont="1" applyFill="1" applyBorder="1" applyAlignment="1" applyProtection="1">
      <alignment vertical="center"/>
    </xf>
    <xf numFmtId="181" fontId="6" fillId="11" borderId="51" xfId="0" applyNumberFormat="1" applyFont="1" applyFill="1" applyBorder="1" applyAlignment="1" applyProtection="1">
      <alignment vertical="center"/>
      <protection locked="0"/>
    </xf>
    <xf numFmtId="178" fontId="6" fillId="11" borderId="24" xfId="3" applyNumberFormat="1" applyFont="1" applyFill="1" applyBorder="1" applyAlignment="1" applyProtection="1">
      <alignment vertical="center"/>
      <protection locked="0"/>
    </xf>
    <xf numFmtId="178" fontId="6" fillId="11" borderId="18" xfId="3" applyNumberFormat="1" applyFont="1" applyFill="1" applyBorder="1" applyAlignment="1" applyProtection="1">
      <alignment vertical="center"/>
      <protection locked="0"/>
    </xf>
    <xf numFmtId="178" fontId="6" fillId="8" borderId="25" xfId="3" applyNumberFormat="1" applyFont="1" applyFill="1" applyBorder="1" applyAlignment="1" applyProtection="1">
      <alignment vertical="center"/>
    </xf>
    <xf numFmtId="169" fontId="6" fillId="8" borderId="24" xfId="0" applyNumberFormat="1" applyFont="1" applyFill="1" applyBorder="1" applyAlignment="1" applyProtection="1">
      <alignment vertical="center"/>
    </xf>
    <xf numFmtId="0" fontId="0" fillId="0" borderId="0" xfId="0" applyFill="1" applyBorder="1" applyAlignment="1" applyProtection="1">
      <alignment vertical="center"/>
    </xf>
    <xf numFmtId="0" fontId="5" fillId="0" borderId="0" xfId="4" applyFont="1" applyFill="1" applyBorder="1" applyAlignment="1" applyProtection="1">
      <alignment vertical="center"/>
    </xf>
    <xf numFmtId="0" fontId="6" fillId="0" borderId="0" xfId="3" applyFont="1" applyFill="1" applyBorder="1" applyAlignment="1" applyProtection="1">
      <alignment vertical="center"/>
    </xf>
    <xf numFmtId="0" fontId="6" fillId="0" borderId="0" xfId="3" applyFont="1" applyFill="1" applyBorder="1" applyAlignment="1" applyProtection="1">
      <alignment horizontal="right" vertical="center"/>
    </xf>
    <xf numFmtId="168" fontId="6" fillId="0" borderId="0" xfId="3" applyNumberFormat="1" applyFont="1" applyFill="1" applyBorder="1" applyAlignment="1" applyProtection="1">
      <alignment horizontal="right" vertical="center"/>
    </xf>
    <xf numFmtId="0" fontId="6" fillId="0" borderId="0" xfId="3" applyFont="1" applyFill="1" applyBorder="1" applyAlignment="1" applyProtection="1">
      <alignment horizontal="left" vertical="center"/>
    </xf>
    <xf numFmtId="0" fontId="16" fillId="0" borderId="0" xfId="3" applyFont="1" applyFill="1" applyBorder="1" applyAlignment="1" applyProtection="1">
      <alignment vertical="center"/>
    </xf>
    <xf numFmtId="0" fontId="55" fillId="0" borderId="0" xfId="3" applyFont="1" applyFill="1" applyBorder="1" applyAlignment="1" applyProtection="1">
      <alignment vertical="center"/>
    </xf>
    <xf numFmtId="0" fontId="25"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63" fillId="8" borderId="17" xfId="0" applyFont="1" applyFill="1" applyBorder="1" applyAlignment="1" applyProtection="1">
      <alignment horizontal="center" vertical="center"/>
    </xf>
    <xf numFmtId="1" fontId="65" fillId="8" borderId="0" xfId="3" applyNumberFormat="1" applyFont="1" applyFill="1" applyBorder="1" applyAlignment="1" applyProtection="1">
      <alignment horizontal="left" vertical="center" indent="1"/>
    </xf>
    <xf numFmtId="0" fontId="3" fillId="7" borderId="0" xfId="1" applyFill="1" applyBorder="1" applyAlignment="1" applyProtection="1">
      <alignment horizontal="left" vertical="center"/>
    </xf>
    <xf numFmtId="0" fontId="12" fillId="14" borderId="0" xfId="0" applyFont="1" applyFill="1" applyBorder="1" applyAlignment="1"/>
    <xf numFmtId="2" fontId="14" fillId="0" borderId="0" xfId="0" applyNumberFormat="1" applyFont="1" applyFill="1" applyBorder="1" applyAlignment="1">
      <alignment horizontal="center"/>
    </xf>
    <xf numFmtId="2" fontId="14" fillId="0" borderId="6" xfId="0" applyNumberFormat="1" applyFont="1" applyFill="1" applyBorder="1" applyAlignment="1">
      <alignment horizontal="center"/>
    </xf>
    <xf numFmtId="0" fontId="14" fillId="0" borderId="14" xfId="0" applyFont="1" applyFill="1" applyBorder="1"/>
    <xf numFmtId="182" fontId="14" fillId="0" borderId="14" xfId="0" applyNumberFormat="1" applyFont="1" applyFill="1" applyBorder="1" applyAlignment="1">
      <alignment horizontal="center"/>
    </xf>
    <xf numFmtId="168" fontId="14" fillId="0" borderId="0" xfId="0" applyNumberFormat="1" applyFont="1" applyFill="1" applyBorder="1" applyAlignment="1">
      <alignment horizontal="center"/>
    </xf>
    <xf numFmtId="1" fontId="14" fillId="0" borderId="0" xfId="0" applyNumberFormat="1" applyFont="1" applyFill="1" applyBorder="1" applyAlignment="1">
      <alignment horizontal="center"/>
    </xf>
    <xf numFmtId="170" fontId="14" fillId="0" borderId="0" xfId="0" applyNumberFormat="1" applyFont="1" applyFill="1" applyBorder="1" applyAlignment="1">
      <alignment horizontal="center"/>
    </xf>
    <xf numFmtId="0" fontId="14" fillId="0" borderId="0" xfId="0" applyFont="1" applyFill="1"/>
    <xf numFmtId="2" fontId="14" fillId="0" borderId="16" xfId="0" applyNumberFormat="1" applyFont="1" applyFill="1" applyBorder="1" applyAlignment="1">
      <alignment horizontal="center"/>
    </xf>
    <xf numFmtId="2" fontId="14" fillId="0" borderId="13" xfId="0" applyNumberFormat="1" applyFont="1" applyFill="1" applyBorder="1" applyAlignment="1">
      <alignment horizontal="center"/>
    </xf>
    <xf numFmtId="0" fontId="14" fillId="0" borderId="4" xfId="0" applyFont="1" applyFill="1" applyBorder="1"/>
    <xf numFmtId="2" fontId="14" fillId="0" borderId="54" xfId="0" applyNumberFormat="1" applyFont="1" applyFill="1" applyBorder="1" applyAlignment="1">
      <alignment horizontal="center"/>
    </xf>
    <xf numFmtId="0" fontId="14" fillId="0" borderId="2" xfId="0" applyFont="1" applyFill="1" applyBorder="1"/>
    <xf numFmtId="0" fontId="69" fillId="0" borderId="0" xfId="0" applyFont="1" applyFill="1" applyAlignment="1">
      <alignment wrapText="1"/>
    </xf>
    <xf numFmtId="0" fontId="14" fillId="0" borderId="0" xfId="0" applyFont="1" applyFill="1" applyAlignment="1">
      <alignment horizontal="center"/>
    </xf>
    <xf numFmtId="0" fontId="14" fillId="0" borderId="0" xfId="0" applyFont="1" applyFill="1" applyBorder="1"/>
    <xf numFmtId="14" fontId="14" fillId="0" borderId="0" xfId="0" applyNumberFormat="1" applyFont="1" applyFill="1" applyBorder="1" applyAlignment="1">
      <alignment horizontal="center"/>
    </xf>
    <xf numFmtId="14" fontId="14" fillId="0" borderId="0" xfId="0" applyNumberFormat="1" applyFont="1" applyFill="1" applyAlignment="1">
      <alignment horizontal="center"/>
    </xf>
    <xf numFmtId="168" fontId="14" fillId="0" borderId="0" xfId="0" applyNumberFormat="1" applyFont="1" applyFill="1" applyAlignment="1">
      <alignment horizontal="center"/>
    </xf>
    <xf numFmtId="2" fontId="12" fillId="0" borderId="0" xfId="0" applyNumberFormat="1" applyFont="1" applyFill="1" applyBorder="1" applyAlignment="1">
      <alignment horizontal="center"/>
    </xf>
    <xf numFmtId="2" fontId="14" fillId="0" borderId="0" xfId="0" applyNumberFormat="1" applyFont="1" applyFill="1" applyAlignment="1">
      <alignment horizontal="center"/>
    </xf>
    <xf numFmtId="0" fontId="14" fillId="0" borderId="15" xfId="0" applyFont="1" applyFill="1" applyBorder="1"/>
    <xf numFmtId="182" fontId="14" fillId="0" borderId="15" xfId="0" applyNumberFormat="1" applyFont="1" applyFill="1" applyBorder="1" applyAlignment="1">
      <alignment horizontal="center"/>
    </xf>
    <xf numFmtId="14" fontId="14" fillId="0" borderId="7" xfId="0" applyNumberFormat="1" applyFont="1" applyFill="1" applyBorder="1" applyAlignment="1">
      <alignment horizontal="center"/>
    </xf>
    <xf numFmtId="168" fontId="14" fillId="0" borderId="7" xfId="0" applyNumberFormat="1" applyFont="1" applyFill="1" applyBorder="1" applyAlignment="1">
      <alignment horizontal="center"/>
    </xf>
    <xf numFmtId="1" fontId="14" fillId="0" borderId="7" xfId="0" applyNumberFormat="1" applyFont="1" applyFill="1" applyBorder="1" applyAlignment="1">
      <alignment horizontal="center"/>
    </xf>
    <xf numFmtId="2" fontId="14" fillId="0" borderId="7" xfId="0" applyNumberFormat="1" applyFont="1" applyFill="1" applyBorder="1" applyAlignment="1">
      <alignment horizontal="center"/>
    </xf>
    <xf numFmtId="170" fontId="14" fillId="0" borderId="7" xfId="0" applyNumberFormat="1" applyFont="1" applyFill="1" applyBorder="1" applyAlignment="1">
      <alignment horizontal="center"/>
    </xf>
    <xf numFmtId="182" fontId="14" fillId="0" borderId="0" xfId="0" applyNumberFormat="1" applyFont="1" applyFill="1" applyAlignment="1">
      <alignment horizontal="center"/>
    </xf>
    <xf numFmtId="1" fontId="14" fillId="0" borderId="0" xfId="0" applyNumberFormat="1" applyFont="1" applyFill="1" applyAlignment="1">
      <alignment horizontal="center"/>
    </xf>
    <xf numFmtId="170" fontId="14" fillId="0" borderId="0" xfId="0" applyNumberFormat="1" applyFont="1" applyFill="1" applyAlignment="1">
      <alignment horizontal="center"/>
    </xf>
    <xf numFmtId="2" fontId="14" fillId="0" borderId="0" xfId="0" applyNumberFormat="1" applyFont="1" applyFill="1"/>
    <xf numFmtId="0" fontId="14" fillId="0" borderId="11" xfId="0" applyFont="1" applyFill="1" applyBorder="1"/>
    <xf numFmtId="182" fontId="14" fillId="0" borderId="11" xfId="0" applyNumberFormat="1" applyFont="1" applyFill="1" applyBorder="1" applyAlignment="1">
      <alignment horizontal="center"/>
    </xf>
    <xf numFmtId="14" fontId="14" fillId="0" borderId="12" xfId="0" applyNumberFormat="1" applyFont="1" applyFill="1" applyBorder="1" applyAlignment="1">
      <alignment horizontal="center"/>
    </xf>
    <xf numFmtId="168" fontId="14" fillId="0" borderId="12" xfId="0" applyNumberFormat="1" applyFont="1" applyFill="1" applyBorder="1" applyAlignment="1">
      <alignment horizontal="center"/>
    </xf>
    <xf numFmtId="1" fontId="14" fillId="0" borderId="12" xfId="0" applyNumberFormat="1" applyFont="1" applyFill="1" applyBorder="1" applyAlignment="1">
      <alignment horizontal="center"/>
    </xf>
    <xf numFmtId="2" fontId="14" fillId="0" borderId="12" xfId="0" applyNumberFormat="1" applyFont="1" applyFill="1" applyBorder="1" applyAlignment="1">
      <alignment horizontal="center"/>
    </xf>
    <xf numFmtId="170" fontId="14" fillId="0" borderId="12" xfId="0" applyNumberFormat="1" applyFont="1" applyFill="1" applyBorder="1" applyAlignment="1">
      <alignment horizontal="center"/>
    </xf>
    <xf numFmtId="0" fontId="14" fillId="0" borderId="5" xfId="0" applyFont="1" applyFill="1" applyBorder="1"/>
    <xf numFmtId="0" fontId="16" fillId="0" borderId="0" xfId="0" applyFont="1" applyAlignment="1">
      <alignment horizontal="center"/>
    </xf>
    <xf numFmtId="0" fontId="16" fillId="0" borderId="9" xfId="0" applyFont="1" applyBorder="1" applyAlignment="1">
      <alignment horizontal="center"/>
    </xf>
    <xf numFmtId="0" fontId="16" fillId="0" borderId="12" xfId="0" applyFont="1" applyBorder="1" applyAlignment="1">
      <alignment horizontal="center"/>
    </xf>
    <xf numFmtId="0" fontId="16" fillId="0" borderId="7" xfId="0" applyFont="1" applyBorder="1" applyAlignment="1">
      <alignment horizontal="center"/>
    </xf>
    <xf numFmtId="0" fontId="55" fillId="0" borderId="0" xfId="0" applyFont="1" applyFill="1" applyAlignment="1">
      <alignment horizontal="center"/>
    </xf>
    <xf numFmtId="2" fontId="55" fillId="0" borderId="0" xfId="0" applyNumberFormat="1" applyFont="1" applyFill="1" applyBorder="1" applyAlignment="1">
      <alignment horizontal="center"/>
    </xf>
    <xf numFmtId="2" fontId="55" fillId="0" borderId="0" xfId="0" applyNumberFormat="1" applyFont="1" applyFill="1" applyAlignment="1">
      <alignment horizontal="center"/>
    </xf>
    <xf numFmtId="2" fontId="55" fillId="0" borderId="7" xfId="0" applyNumberFormat="1" applyFont="1" applyFill="1" applyBorder="1" applyAlignment="1">
      <alignment horizontal="center"/>
    </xf>
    <xf numFmtId="2" fontId="55" fillId="0" borderId="12" xfId="0" applyNumberFormat="1" applyFont="1" applyFill="1" applyBorder="1" applyAlignment="1">
      <alignment horizontal="center"/>
    </xf>
    <xf numFmtId="190" fontId="14" fillId="0" borderId="11" xfId="0" applyNumberFormat="1" applyFont="1" applyFill="1" applyBorder="1" applyAlignment="1">
      <alignment horizontal="center"/>
    </xf>
    <xf numFmtId="190" fontId="14" fillId="0" borderId="14" xfId="0" applyNumberFormat="1" applyFont="1" applyFill="1" applyBorder="1" applyAlignment="1">
      <alignment horizontal="center"/>
    </xf>
    <xf numFmtId="0" fontId="14" fillId="0" borderId="8" xfId="0" applyFont="1" applyFill="1" applyBorder="1"/>
    <xf numFmtId="182" fontId="14" fillId="0" borderId="9" xfId="0" applyNumberFormat="1" applyFont="1" applyFill="1" applyBorder="1" applyAlignment="1">
      <alignment horizontal="center"/>
    </xf>
    <xf numFmtId="14" fontId="14" fillId="0" borderId="9" xfId="0" applyNumberFormat="1" applyFont="1" applyFill="1" applyBorder="1" applyAlignment="1">
      <alignment horizontal="center"/>
    </xf>
    <xf numFmtId="168" fontId="14" fillId="0" borderId="9" xfId="0" applyNumberFormat="1" applyFont="1" applyFill="1" applyBorder="1" applyAlignment="1">
      <alignment horizontal="center"/>
    </xf>
    <xf numFmtId="1" fontId="14" fillId="0" borderId="9" xfId="0" applyNumberFormat="1" applyFont="1" applyFill="1" applyBorder="1" applyAlignment="1">
      <alignment horizontal="center"/>
    </xf>
    <xf numFmtId="2" fontId="14" fillId="0" borderId="9" xfId="0" applyNumberFormat="1" applyFont="1" applyFill="1" applyBorder="1" applyAlignment="1">
      <alignment horizontal="center"/>
    </xf>
    <xf numFmtId="2" fontId="55" fillId="0" borderId="9" xfId="0" applyNumberFormat="1" applyFont="1" applyFill="1" applyBorder="1" applyAlignment="1">
      <alignment horizontal="center"/>
    </xf>
    <xf numFmtId="170" fontId="14" fillId="0" borderId="9" xfId="0" applyNumberFormat="1" applyFont="1" applyFill="1" applyBorder="1" applyAlignment="1">
      <alignment horizontal="center"/>
    </xf>
    <xf numFmtId="2" fontId="14" fillId="0" borderId="10" xfId="0" applyNumberFormat="1" applyFont="1" applyFill="1" applyBorder="1"/>
    <xf numFmtId="2" fontId="14" fillId="0" borderId="13" xfId="0" applyNumberFormat="1" applyFont="1" applyFill="1" applyBorder="1"/>
    <xf numFmtId="2" fontId="14" fillId="0" borderId="6" xfId="0" applyNumberFormat="1" applyFont="1" applyFill="1" applyBorder="1"/>
    <xf numFmtId="0" fontId="14" fillId="0" borderId="12" xfId="0" applyFont="1" applyFill="1" applyBorder="1"/>
    <xf numFmtId="0" fontId="46" fillId="13" borderId="0" xfId="0" applyFont="1" applyFill="1" applyBorder="1" applyAlignment="1">
      <alignment horizontal="left" vertical="top" wrapText="1"/>
    </xf>
    <xf numFmtId="0" fontId="49" fillId="13" borderId="50" xfId="0" applyFont="1" applyFill="1" applyBorder="1" applyAlignment="1">
      <alignment horizontal="right" vertical="center"/>
    </xf>
    <xf numFmtId="0" fontId="47" fillId="14" borderId="47" xfId="0" applyFont="1" applyFill="1" applyBorder="1" applyAlignment="1">
      <alignment horizontal="distributed" vertical="center" indent="2"/>
    </xf>
    <xf numFmtId="0" fontId="47" fillId="14" borderId="48" xfId="0" applyFont="1" applyFill="1" applyBorder="1" applyAlignment="1">
      <alignment horizontal="distributed" vertical="center" indent="2"/>
    </xf>
    <xf numFmtId="0" fontId="47" fillId="14" borderId="49" xfId="0" applyFont="1" applyFill="1" applyBorder="1" applyAlignment="1">
      <alignment horizontal="distributed" vertical="center" indent="2"/>
    </xf>
    <xf numFmtId="0" fontId="46" fillId="13" borderId="0" xfId="0" applyFont="1" applyFill="1" applyBorder="1" applyAlignment="1">
      <alignment horizontal="left" vertical="center" wrapText="1"/>
    </xf>
    <xf numFmtId="0" fontId="48" fillId="14" borderId="47" xfId="0" applyFont="1" applyFill="1" applyBorder="1" applyAlignment="1">
      <alignment horizontal="distributed" vertical="center" wrapText="1" indent="2"/>
    </xf>
    <xf numFmtId="0" fontId="48" fillId="14" borderId="48" xfId="0" applyFont="1" applyFill="1" applyBorder="1" applyAlignment="1">
      <alignment horizontal="distributed" vertical="center" wrapText="1" indent="2"/>
    </xf>
    <xf numFmtId="0" fontId="48" fillId="14" borderId="49" xfId="0" applyFont="1" applyFill="1" applyBorder="1" applyAlignment="1">
      <alignment horizontal="distributed" vertical="center" wrapText="1" indent="2"/>
    </xf>
    <xf numFmtId="0" fontId="45" fillId="13" borderId="0" xfId="0" applyFont="1" applyFill="1" applyBorder="1" applyAlignment="1">
      <alignment horizontal="left" vertical="top" wrapText="1"/>
    </xf>
    <xf numFmtId="0" fontId="67" fillId="13" borderId="0" xfId="6" applyFont="1" applyFill="1" applyBorder="1" applyAlignment="1">
      <alignment horizontal="left" vertical="top" wrapText="1"/>
    </xf>
    <xf numFmtId="0" fontId="49" fillId="13" borderId="0" xfId="0" applyFont="1" applyFill="1" applyBorder="1" applyAlignment="1">
      <alignment horizontal="left" vertical="top" wrapText="1"/>
    </xf>
    <xf numFmtId="0" fontId="3" fillId="7" borderId="0" xfId="1" applyFill="1" applyBorder="1" applyAlignment="1" applyProtection="1">
      <alignment horizontal="left" vertical="center"/>
    </xf>
    <xf numFmtId="0" fontId="27" fillId="11" borderId="24" xfId="1" applyFont="1" applyFill="1" applyBorder="1" applyAlignment="1" applyProtection="1">
      <alignment horizontal="left" vertical="center" indent="1"/>
      <protection locked="0"/>
    </xf>
    <xf numFmtId="14" fontId="27" fillId="11" borderId="24" xfId="1" applyNumberFormat="1" applyFont="1" applyFill="1" applyBorder="1" applyAlignment="1" applyProtection="1">
      <alignment horizontal="left" vertical="center" indent="1"/>
      <protection locked="0"/>
    </xf>
    <xf numFmtId="0" fontId="42" fillId="11" borderId="0" xfId="0" applyFont="1" applyFill="1" applyBorder="1" applyAlignment="1" applyProtection="1">
      <alignment horizontal="left" vertical="center" wrapText="1" indent="1"/>
    </xf>
    <xf numFmtId="0" fontId="24" fillId="11" borderId="0" xfId="0" applyFont="1" applyFill="1" applyAlignment="1" applyProtection="1">
      <alignment horizontal="left" vertical="center" wrapText="1" indent="1"/>
    </xf>
    <xf numFmtId="0" fontId="24" fillId="11" borderId="0" xfId="0" applyFont="1" applyFill="1" applyBorder="1" applyAlignment="1" applyProtection="1">
      <alignment horizontal="left" vertical="center" wrapText="1" indent="1"/>
    </xf>
  </cellXfs>
  <cellStyles count="7">
    <cellStyle name="20 % - Akzent1" xfId="3" builtinId="30"/>
    <cellStyle name="60 % - Akzent1" xfId="4" builtinId="32"/>
    <cellStyle name="60 % - Akzent2" xfId="5" builtinId="36"/>
    <cellStyle name="Akzent1" xfId="2" builtinId="29"/>
    <cellStyle name="Link" xfId="6" builtinId="8"/>
    <cellStyle name="Standard" xfId="0" builtinId="0"/>
    <cellStyle name="Überschrift 1" xfId="1" builtinId="16"/>
  </cellStyles>
  <dxfs count="460">
    <dxf>
      <font>
        <b/>
        <i val="0"/>
        <strike val="0"/>
        <color rgb="FFFF0000"/>
      </font>
    </dxf>
    <dxf>
      <font>
        <b val="0"/>
        <i val="0"/>
        <color theme="1"/>
      </font>
    </dxf>
    <dxf>
      <font>
        <b val="0"/>
        <i val="0"/>
        <color auto="1"/>
      </font>
    </dxf>
    <dxf>
      <font>
        <b/>
        <i val="0"/>
        <color theme="1"/>
      </font>
    </dxf>
    <dxf>
      <font>
        <color theme="0"/>
      </font>
      <fill>
        <patternFill patternType="solid">
          <bgColor theme="0"/>
        </patternFill>
      </fill>
      <border>
        <left/>
        <right/>
        <top/>
        <bottom/>
        <vertical/>
        <horizontal/>
      </border>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rgb="FFDDDDDD"/>
      </font>
    </dxf>
    <dxf>
      <font>
        <color rgb="FFDDDDDD"/>
      </font>
    </dxf>
    <dxf>
      <font>
        <color theme="0"/>
      </font>
      <fill>
        <patternFill>
          <bgColor theme="0"/>
        </patternFill>
      </fill>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FF0000"/>
      </font>
    </dxf>
    <dxf>
      <font>
        <b/>
        <i val="0"/>
        <color rgb="FFFF0000"/>
      </font>
    </dxf>
    <dxf>
      <font>
        <b/>
        <i val="0"/>
        <color rgb="FF009644"/>
      </font>
    </dxf>
    <dxf>
      <font>
        <b/>
        <i val="0"/>
        <color rgb="FFFF0000"/>
      </font>
    </dxf>
    <dxf>
      <font>
        <color rgb="FFDDDDDD"/>
      </font>
    </dxf>
    <dxf>
      <font>
        <color rgb="FFDDDDDD"/>
      </font>
    </dxf>
    <dxf>
      <font>
        <color theme="0" tint="-0.34998626667073579"/>
      </font>
    </dxf>
    <dxf>
      <font>
        <b/>
        <i val="0"/>
        <color rgb="FFFF0000"/>
      </font>
    </dxf>
    <dxf>
      <font>
        <b/>
        <i val="0"/>
        <color rgb="FFFF0000"/>
      </font>
    </dxf>
    <dxf>
      <font>
        <b/>
        <i val="0"/>
        <color rgb="FF009644"/>
      </font>
    </dxf>
    <dxf>
      <font>
        <b/>
        <i val="0"/>
        <color rgb="FFFF0000"/>
      </font>
    </dxf>
    <dxf>
      <font>
        <b/>
        <i val="0"/>
        <color rgb="FF009644"/>
      </font>
    </dxf>
    <dxf>
      <font>
        <b/>
        <i val="0"/>
        <color theme="1"/>
      </font>
    </dxf>
    <dxf>
      <font>
        <b/>
        <i val="0"/>
        <color rgb="FF009644"/>
      </font>
    </dxf>
    <dxf>
      <font>
        <b/>
        <i val="0"/>
        <color theme="1"/>
      </font>
    </dxf>
    <dxf>
      <font>
        <b/>
        <i val="0"/>
        <color rgb="FF009644"/>
      </font>
    </dxf>
    <dxf>
      <font>
        <b/>
        <i val="0"/>
        <color theme="1"/>
      </font>
    </dxf>
    <dxf>
      <font>
        <b/>
        <i val="0"/>
        <color rgb="FFFF0000"/>
      </font>
    </dxf>
    <dxf>
      <font>
        <b/>
        <i val="0"/>
        <color rgb="FFFF0000"/>
      </font>
    </dxf>
    <dxf>
      <font>
        <b/>
        <i val="0"/>
        <color rgb="FF009644"/>
      </font>
    </dxf>
    <dxf>
      <font>
        <color rgb="FFDDDDDD"/>
      </font>
    </dxf>
    <dxf>
      <font>
        <color rgb="FFDDDDDD"/>
      </font>
    </dxf>
    <dxf>
      <font>
        <color theme="0"/>
      </font>
    </dxf>
    <dxf>
      <font>
        <color rgb="FFDDDDDD"/>
      </font>
    </dxf>
    <dxf>
      <font>
        <color theme="0"/>
      </font>
    </dxf>
    <dxf>
      <font>
        <color rgb="FFDDDDDD"/>
      </font>
    </dxf>
    <dxf>
      <font>
        <color theme="0"/>
      </font>
    </dxf>
    <dxf>
      <font>
        <color rgb="FFDDDDDD"/>
      </font>
    </dxf>
    <dxf>
      <font>
        <color theme="0"/>
      </font>
    </dxf>
    <dxf>
      <font>
        <color theme="0"/>
      </font>
    </dxf>
    <dxf>
      <font>
        <color rgb="FFDDDDDD"/>
      </font>
    </dxf>
    <dxf>
      <font>
        <color rgb="FFDDDDDD"/>
      </font>
    </dxf>
    <dxf>
      <font>
        <b/>
        <i val="0"/>
        <color rgb="FFFF0000"/>
      </font>
      <border>
        <vertical/>
        <horizontal/>
      </border>
    </dxf>
    <dxf>
      <font>
        <b/>
        <i val="0"/>
        <color rgb="FFFF0000"/>
      </font>
      <border>
        <vertical/>
        <horizontal/>
      </border>
    </dxf>
    <dxf>
      <font>
        <color theme="0"/>
      </font>
    </dxf>
    <dxf>
      <font>
        <color rgb="FFDDDDDD"/>
      </font>
    </dxf>
    <dxf>
      <font>
        <color rgb="FFDDDDDD"/>
      </font>
    </dxf>
    <dxf>
      <font>
        <color rgb="FFDDDDDD"/>
      </font>
    </dxf>
    <dxf>
      <font>
        <color rgb="FFDDDDDD"/>
      </font>
    </dxf>
    <dxf>
      <font>
        <b/>
        <i val="0"/>
        <color rgb="FFFF0000"/>
      </font>
    </dxf>
    <dxf>
      <font>
        <b/>
        <i val="0"/>
        <color rgb="FFFF0000"/>
      </font>
    </dxf>
    <dxf>
      <font>
        <b/>
        <i val="0"/>
        <color rgb="FFFF0000"/>
      </font>
    </dxf>
    <dxf>
      <font>
        <b/>
        <i val="0"/>
        <color rgb="FFFF0000"/>
      </font>
    </dxf>
    <dxf>
      <font>
        <color rgb="FFDDDDDD"/>
      </font>
    </dxf>
    <dxf>
      <font>
        <color rgb="FFDDDDDD"/>
      </font>
    </dxf>
    <dxf>
      <font>
        <color rgb="FFDDDDDD"/>
      </font>
    </dxf>
    <dxf>
      <font>
        <color rgb="FFDDDDDD"/>
      </font>
    </dxf>
    <dxf>
      <font>
        <b/>
        <i val="0"/>
        <color rgb="FFFF0000"/>
      </font>
    </dxf>
    <dxf>
      <font>
        <b/>
        <i val="0"/>
        <color rgb="FFFF0000"/>
      </font>
    </dxf>
    <dxf>
      <font>
        <color rgb="FFDDDDDD"/>
      </font>
    </dxf>
    <dxf>
      <font>
        <color rgb="FFDDDDDD"/>
      </font>
    </dxf>
    <dxf>
      <font>
        <color theme="0"/>
      </font>
    </dxf>
    <dxf>
      <font>
        <color rgb="FFDDDDDD"/>
      </font>
    </dxf>
    <dxf>
      <font>
        <color rgb="FFDDDDDD"/>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rgb="FFDDDDDD"/>
      </font>
    </dxf>
    <dxf>
      <font>
        <color rgb="FFDDDDDD"/>
      </font>
    </dxf>
    <dxf>
      <font>
        <color rgb="FFDDDDDD"/>
      </font>
    </dxf>
    <dxf>
      <font>
        <color rgb="FFDDDDDD"/>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val="0"/>
        <i val="0"/>
        <color rgb="FFDDDDDD"/>
      </font>
    </dxf>
    <dxf>
      <font>
        <color theme="0" tint="-0.34998626667073579"/>
      </font>
    </dxf>
    <dxf>
      <font>
        <color theme="0" tint="-0.24994659260841701"/>
      </font>
    </dxf>
    <dxf>
      <font>
        <color rgb="FFDDDDDD"/>
      </font>
    </dxf>
    <dxf>
      <font>
        <b val="0"/>
        <i val="0"/>
        <color rgb="FFDDDDDD"/>
      </font>
      <fill>
        <patternFill>
          <bgColor rgb="FFDDDDDD"/>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b/>
        <i val="0"/>
        <strike val="0"/>
        <color rgb="FFFF0000"/>
      </font>
    </dxf>
    <dxf>
      <font>
        <b val="0"/>
        <i val="0"/>
        <color theme="1"/>
      </font>
    </dxf>
    <dxf>
      <font>
        <b val="0"/>
        <i val="0"/>
        <color auto="1"/>
      </font>
    </dxf>
    <dxf>
      <font>
        <b/>
        <i val="0"/>
        <color theme="1"/>
      </font>
    </dxf>
    <dxf>
      <font>
        <color theme="0"/>
      </font>
      <fill>
        <patternFill patternType="solid">
          <bgColor theme="0"/>
        </patternFill>
      </fill>
      <border>
        <left/>
        <right/>
        <top/>
        <bottom/>
        <vertical/>
        <horizontal/>
      </border>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rgb="FFDDDDDD"/>
      </font>
    </dxf>
    <dxf>
      <font>
        <color rgb="FFDDDDDD"/>
      </font>
    </dxf>
    <dxf>
      <font>
        <color theme="0"/>
      </font>
      <fill>
        <patternFill>
          <bgColor theme="0"/>
        </patternFill>
      </fill>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FF0000"/>
      </font>
    </dxf>
    <dxf>
      <font>
        <b/>
        <i val="0"/>
        <color rgb="FFFF0000"/>
      </font>
    </dxf>
    <dxf>
      <font>
        <b/>
        <i val="0"/>
        <color rgb="FF009644"/>
      </font>
    </dxf>
    <dxf>
      <font>
        <b/>
        <i val="0"/>
        <color rgb="FFFF0000"/>
      </font>
    </dxf>
    <dxf>
      <font>
        <color rgb="FFDDDDDD"/>
      </font>
    </dxf>
    <dxf>
      <font>
        <color rgb="FFDDDDDD"/>
      </font>
    </dxf>
    <dxf>
      <font>
        <color theme="0" tint="-0.34998626667073579"/>
      </font>
    </dxf>
    <dxf>
      <font>
        <b/>
        <i val="0"/>
        <color rgb="FFFF0000"/>
      </font>
    </dxf>
    <dxf>
      <font>
        <b/>
        <i val="0"/>
        <color rgb="FFFF0000"/>
      </font>
    </dxf>
    <dxf>
      <font>
        <b/>
        <i val="0"/>
        <color rgb="FF009644"/>
      </font>
    </dxf>
    <dxf>
      <font>
        <b/>
        <i val="0"/>
        <color rgb="FFFF0000"/>
      </font>
    </dxf>
    <dxf>
      <font>
        <b/>
        <i val="0"/>
        <color rgb="FF009644"/>
      </font>
    </dxf>
    <dxf>
      <font>
        <b/>
        <i val="0"/>
        <color theme="1"/>
      </font>
    </dxf>
    <dxf>
      <font>
        <b/>
        <i val="0"/>
        <color rgb="FF009644"/>
      </font>
    </dxf>
    <dxf>
      <font>
        <b/>
        <i val="0"/>
        <color theme="1"/>
      </font>
    </dxf>
    <dxf>
      <font>
        <b/>
        <i val="0"/>
        <color rgb="FF009644"/>
      </font>
    </dxf>
    <dxf>
      <font>
        <b/>
        <i val="0"/>
        <color theme="1"/>
      </font>
    </dxf>
    <dxf>
      <font>
        <b/>
        <i val="0"/>
        <color rgb="FFFF0000"/>
      </font>
    </dxf>
    <dxf>
      <font>
        <b/>
        <i val="0"/>
        <color rgb="FFFF0000"/>
      </font>
    </dxf>
    <dxf>
      <font>
        <b/>
        <i val="0"/>
        <color rgb="FF009644"/>
      </font>
    </dxf>
    <dxf>
      <font>
        <color rgb="FFDDDDDD"/>
      </font>
    </dxf>
    <dxf>
      <font>
        <color rgb="FFDDDDDD"/>
      </font>
    </dxf>
    <dxf>
      <font>
        <color theme="0"/>
      </font>
    </dxf>
    <dxf>
      <font>
        <color rgb="FFDDDDDD"/>
      </font>
    </dxf>
    <dxf>
      <font>
        <color theme="0"/>
      </font>
    </dxf>
    <dxf>
      <font>
        <color rgb="FFDDDDDD"/>
      </font>
    </dxf>
    <dxf>
      <font>
        <color theme="0"/>
      </font>
    </dxf>
    <dxf>
      <font>
        <color rgb="FFDDDDDD"/>
      </font>
    </dxf>
    <dxf>
      <font>
        <color theme="0"/>
      </font>
    </dxf>
    <dxf>
      <font>
        <color theme="0"/>
      </font>
    </dxf>
    <dxf>
      <font>
        <color rgb="FFDDDDDD"/>
      </font>
    </dxf>
    <dxf>
      <font>
        <color rgb="FFDDDDDD"/>
      </font>
    </dxf>
    <dxf>
      <font>
        <b/>
        <i val="0"/>
        <color rgb="FFFF0000"/>
      </font>
      <border>
        <vertical/>
        <horizontal/>
      </border>
    </dxf>
    <dxf>
      <font>
        <b/>
        <i val="0"/>
        <color rgb="FFFF0000"/>
      </font>
      <border>
        <vertical/>
        <horizontal/>
      </border>
    </dxf>
    <dxf>
      <font>
        <color theme="0"/>
      </font>
    </dxf>
    <dxf>
      <font>
        <color rgb="FFDDDDDD"/>
      </font>
    </dxf>
    <dxf>
      <font>
        <color rgb="FFDDDDDD"/>
      </font>
    </dxf>
    <dxf>
      <font>
        <color rgb="FFDDDDDD"/>
      </font>
    </dxf>
    <dxf>
      <font>
        <color rgb="FFDDDDDD"/>
      </font>
    </dxf>
    <dxf>
      <font>
        <b/>
        <i val="0"/>
        <color rgb="FFFF0000"/>
      </font>
    </dxf>
    <dxf>
      <font>
        <b/>
        <i val="0"/>
        <color rgb="FFFF0000"/>
      </font>
    </dxf>
    <dxf>
      <font>
        <b/>
        <i val="0"/>
        <color rgb="FFFF0000"/>
      </font>
    </dxf>
    <dxf>
      <font>
        <b/>
        <i val="0"/>
        <color rgb="FFFF0000"/>
      </font>
    </dxf>
    <dxf>
      <font>
        <color rgb="FFDDDDDD"/>
      </font>
    </dxf>
    <dxf>
      <font>
        <color rgb="FFDDDDDD"/>
      </font>
    </dxf>
    <dxf>
      <font>
        <color rgb="FFDDDDDD"/>
      </font>
    </dxf>
    <dxf>
      <font>
        <color rgb="FFDDDDDD"/>
      </font>
    </dxf>
    <dxf>
      <font>
        <b/>
        <i val="0"/>
        <color rgb="FFFF0000"/>
      </font>
    </dxf>
    <dxf>
      <font>
        <b/>
        <i val="0"/>
        <color rgb="FFFF0000"/>
      </font>
    </dxf>
    <dxf>
      <font>
        <color rgb="FFDDDDDD"/>
      </font>
    </dxf>
    <dxf>
      <font>
        <color rgb="FFDDDDDD"/>
      </font>
    </dxf>
    <dxf>
      <font>
        <color theme="0"/>
      </font>
    </dxf>
    <dxf>
      <font>
        <color rgb="FFDDDDDD"/>
      </font>
    </dxf>
    <dxf>
      <font>
        <color rgb="FFDDDDDD"/>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rgb="FFDDDDDD"/>
      </font>
    </dxf>
    <dxf>
      <font>
        <color rgb="FFDDDDDD"/>
      </font>
    </dxf>
    <dxf>
      <font>
        <color rgb="FFDDDDDD"/>
      </font>
    </dxf>
    <dxf>
      <font>
        <color rgb="FFDDDDDD"/>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val="0"/>
        <i val="0"/>
        <color rgb="FFDDDDDD"/>
      </font>
    </dxf>
    <dxf>
      <font>
        <color theme="0" tint="-0.34998626667073579"/>
      </font>
    </dxf>
    <dxf>
      <font>
        <color theme="0" tint="-0.24994659260841701"/>
      </font>
    </dxf>
    <dxf>
      <font>
        <color rgb="FFDDDDDD"/>
      </font>
    </dxf>
    <dxf>
      <font>
        <b val="0"/>
        <i val="0"/>
        <color rgb="FFDDDDDD"/>
      </font>
      <fill>
        <patternFill>
          <bgColor rgb="FFDDDDDD"/>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b/>
        <i val="0"/>
        <strike val="0"/>
        <color rgb="FFFF0000"/>
      </font>
    </dxf>
    <dxf>
      <font>
        <b val="0"/>
        <i val="0"/>
        <color theme="1"/>
      </font>
    </dxf>
    <dxf>
      <font>
        <b val="0"/>
        <i val="0"/>
        <color auto="1"/>
      </font>
    </dxf>
    <dxf>
      <font>
        <b/>
        <i val="0"/>
        <color theme="1"/>
      </font>
    </dxf>
    <dxf>
      <font>
        <color theme="0"/>
      </font>
      <fill>
        <patternFill patternType="solid">
          <bgColor theme="0"/>
        </patternFill>
      </fill>
      <border>
        <left/>
        <right/>
        <top/>
        <bottom/>
        <vertical/>
        <horizontal/>
      </border>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rgb="FFDDDDDD"/>
      </font>
    </dxf>
    <dxf>
      <font>
        <color rgb="FFDDDDDD"/>
      </font>
    </dxf>
    <dxf>
      <font>
        <color theme="0"/>
      </font>
      <fill>
        <patternFill>
          <bgColor theme="0"/>
        </patternFill>
      </fill>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FF0000"/>
      </font>
    </dxf>
    <dxf>
      <font>
        <b/>
        <i val="0"/>
        <color rgb="FFFF0000"/>
      </font>
    </dxf>
    <dxf>
      <font>
        <b/>
        <i val="0"/>
        <color rgb="FF009644"/>
      </font>
    </dxf>
    <dxf>
      <font>
        <b/>
        <i val="0"/>
        <color rgb="FFFF0000"/>
      </font>
    </dxf>
    <dxf>
      <font>
        <color rgb="FFDDDDDD"/>
      </font>
    </dxf>
    <dxf>
      <font>
        <color rgb="FFDDDDDD"/>
      </font>
    </dxf>
    <dxf>
      <font>
        <color theme="0" tint="-0.34998626667073579"/>
      </font>
    </dxf>
    <dxf>
      <font>
        <b/>
        <i val="0"/>
        <color rgb="FFFF0000"/>
      </font>
    </dxf>
    <dxf>
      <font>
        <b/>
        <i val="0"/>
        <color rgb="FFFF0000"/>
      </font>
    </dxf>
    <dxf>
      <font>
        <b/>
        <i val="0"/>
        <color rgb="FF009644"/>
      </font>
    </dxf>
    <dxf>
      <font>
        <b/>
        <i val="0"/>
        <color rgb="FFFF0000"/>
      </font>
    </dxf>
    <dxf>
      <font>
        <b/>
        <i val="0"/>
        <color rgb="FF009644"/>
      </font>
    </dxf>
    <dxf>
      <font>
        <b/>
        <i val="0"/>
        <color theme="1"/>
      </font>
    </dxf>
    <dxf>
      <font>
        <b/>
        <i val="0"/>
        <color rgb="FF009644"/>
      </font>
    </dxf>
    <dxf>
      <font>
        <b/>
        <i val="0"/>
        <color theme="1"/>
      </font>
    </dxf>
    <dxf>
      <font>
        <b/>
        <i val="0"/>
        <color rgb="FF009644"/>
      </font>
    </dxf>
    <dxf>
      <font>
        <b/>
        <i val="0"/>
        <color theme="1"/>
      </font>
    </dxf>
    <dxf>
      <font>
        <b/>
        <i val="0"/>
        <color rgb="FFFF0000"/>
      </font>
    </dxf>
    <dxf>
      <font>
        <b/>
        <i val="0"/>
        <color rgb="FFFF0000"/>
      </font>
    </dxf>
    <dxf>
      <font>
        <b/>
        <i val="0"/>
        <color rgb="FF009644"/>
      </font>
    </dxf>
    <dxf>
      <font>
        <color rgb="FFDDDDDD"/>
      </font>
    </dxf>
    <dxf>
      <font>
        <color rgb="FFDDDDDD"/>
      </font>
    </dxf>
    <dxf>
      <font>
        <color theme="0"/>
      </font>
    </dxf>
    <dxf>
      <font>
        <color rgb="FFDDDDDD"/>
      </font>
    </dxf>
    <dxf>
      <font>
        <color theme="0"/>
      </font>
    </dxf>
    <dxf>
      <font>
        <color rgb="FFDDDDDD"/>
      </font>
    </dxf>
    <dxf>
      <font>
        <color theme="0"/>
      </font>
    </dxf>
    <dxf>
      <font>
        <color rgb="FFDDDDDD"/>
      </font>
    </dxf>
    <dxf>
      <font>
        <color theme="0"/>
      </font>
    </dxf>
    <dxf>
      <font>
        <color theme="0"/>
      </font>
    </dxf>
    <dxf>
      <font>
        <color rgb="FFDDDDDD"/>
      </font>
    </dxf>
    <dxf>
      <font>
        <color rgb="FFDDDDDD"/>
      </font>
    </dxf>
    <dxf>
      <font>
        <b/>
        <i val="0"/>
        <color rgb="FFFF0000"/>
      </font>
      <border>
        <vertical/>
        <horizontal/>
      </border>
    </dxf>
    <dxf>
      <font>
        <b/>
        <i val="0"/>
        <color rgb="FFFF0000"/>
      </font>
      <border>
        <vertical/>
        <horizontal/>
      </border>
    </dxf>
    <dxf>
      <font>
        <color theme="0"/>
      </font>
    </dxf>
    <dxf>
      <font>
        <color rgb="FFDDDDDD"/>
      </font>
    </dxf>
    <dxf>
      <font>
        <color rgb="FFDDDDDD"/>
      </font>
    </dxf>
    <dxf>
      <font>
        <color rgb="FFDDDDDD"/>
      </font>
    </dxf>
    <dxf>
      <font>
        <color rgb="FFDDDDDD"/>
      </font>
    </dxf>
    <dxf>
      <font>
        <b/>
        <i val="0"/>
        <color rgb="FFFF0000"/>
      </font>
    </dxf>
    <dxf>
      <font>
        <b/>
        <i val="0"/>
        <color rgb="FFFF0000"/>
      </font>
    </dxf>
    <dxf>
      <font>
        <b/>
        <i val="0"/>
        <color rgb="FFFF0000"/>
      </font>
    </dxf>
    <dxf>
      <font>
        <b/>
        <i val="0"/>
        <color rgb="FFFF0000"/>
      </font>
    </dxf>
    <dxf>
      <font>
        <color rgb="FFDDDDDD"/>
      </font>
    </dxf>
    <dxf>
      <font>
        <color rgb="FFDDDDDD"/>
      </font>
    </dxf>
    <dxf>
      <font>
        <color rgb="FFDDDDDD"/>
      </font>
    </dxf>
    <dxf>
      <font>
        <color rgb="FFDDDDDD"/>
      </font>
    </dxf>
    <dxf>
      <font>
        <b/>
        <i val="0"/>
        <color rgb="FFFF0000"/>
      </font>
    </dxf>
    <dxf>
      <font>
        <b/>
        <i val="0"/>
        <color rgb="FFFF0000"/>
      </font>
    </dxf>
    <dxf>
      <font>
        <color rgb="FFDDDDDD"/>
      </font>
    </dxf>
    <dxf>
      <font>
        <color rgb="FFDDDDDD"/>
      </font>
    </dxf>
    <dxf>
      <font>
        <color theme="0"/>
      </font>
    </dxf>
    <dxf>
      <font>
        <color rgb="FFDDDDDD"/>
      </font>
    </dxf>
    <dxf>
      <font>
        <color rgb="FFDDDDDD"/>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rgb="FFDDDDDD"/>
      </font>
    </dxf>
    <dxf>
      <font>
        <color rgb="FFDDDDDD"/>
      </font>
    </dxf>
    <dxf>
      <font>
        <color rgb="FFDDDDDD"/>
      </font>
    </dxf>
    <dxf>
      <font>
        <color rgb="FFDDDDDD"/>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val="0"/>
        <i val="0"/>
        <color rgb="FFDDDDDD"/>
      </font>
    </dxf>
    <dxf>
      <font>
        <color theme="0" tint="-0.34998626667073579"/>
      </font>
    </dxf>
    <dxf>
      <font>
        <color theme="0" tint="-0.24994659260841701"/>
      </font>
    </dxf>
    <dxf>
      <font>
        <color rgb="FFDDDDDD"/>
      </font>
    </dxf>
    <dxf>
      <font>
        <b val="0"/>
        <i val="0"/>
        <color rgb="FFDDDDDD"/>
      </font>
      <fill>
        <patternFill>
          <bgColor rgb="FFDDDDDD"/>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b/>
        <i val="0"/>
        <strike val="0"/>
        <color rgb="FFFF0000"/>
      </font>
    </dxf>
    <dxf>
      <font>
        <b val="0"/>
        <i val="0"/>
        <color theme="1"/>
      </font>
    </dxf>
    <dxf>
      <font>
        <b val="0"/>
        <i val="0"/>
        <color auto="1"/>
      </font>
    </dxf>
    <dxf>
      <font>
        <b/>
        <i val="0"/>
        <color theme="1"/>
      </font>
    </dxf>
    <dxf>
      <font>
        <color theme="0"/>
      </font>
      <fill>
        <patternFill patternType="solid">
          <bgColor theme="0"/>
        </patternFill>
      </fill>
      <border>
        <left/>
        <right/>
        <top/>
        <bottom/>
        <vertical/>
        <horizontal/>
      </border>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rgb="FFDDDDDD"/>
      </font>
    </dxf>
    <dxf>
      <font>
        <color rgb="FFDDDDDD"/>
      </font>
    </dxf>
    <dxf>
      <font>
        <color theme="0"/>
      </font>
      <fill>
        <patternFill>
          <bgColor theme="0"/>
        </patternFill>
      </fill>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009644"/>
      </font>
    </dxf>
    <dxf>
      <font>
        <b/>
        <i val="0"/>
        <color rgb="FFFF0000"/>
      </font>
    </dxf>
    <dxf>
      <font>
        <b/>
        <i val="0"/>
        <color rgb="FFFF0000"/>
      </font>
    </dxf>
    <dxf>
      <font>
        <b/>
        <i val="0"/>
        <color rgb="FFFF0000"/>
      </font>
    </dxf>
    <dxf>
      <font>
        <b/>
        <i val="0"/>
        <color rgb="FF009644"/>
      </font>
    </dxf>
    <dxf>
      <font>
        <b/>
        <i val="0"/>
        <color rgb="FFFF0000"/>
      </font>
    </dxf>
    <dxf>
      <font>
        <color rgb="FFDDDDDD"/>
      </font>
    </dxf>
    <dxf>
      <font>
        <color rgb="FFDDDDDD"/>
      </font>
    </dxf>
    <dxf>
      <font>
        <color theme="0" tint="-0.34998626667073579"/>
      </font>
    </dxf>
    <dxf>
      <font>
        <b/>
        <i val="0"/>
        <color rgb="FFFF0000"/>
      </font>
    </dxf>
    <dxf>
      <font>
        <b/>
        <i val="0"/>
        <color rgb="FFFF0000"/>
      </font>
    </dxf>
    <dxf>
      <font>
        <b/>
        <i val="0"/>
        <color rgb="FF009644"/>
      </font>
    </dxf>
    <dxf>
      <font>
        <b/>
        <i val="0"/>
        <color rgb="FFFF0000"/>
      </font>
    </dxf>
    <dxf>
      <font>
        <b/>
        <i val="0"/>
        <color rgb="FF009644"/>
      </font>
    </dxf>
    <dxf>
      <font>
        <b/>
        <i val="0"/>
        <color theme="1"/>
      </font>
    </dxf>
    <dxf>
      <font>
        <b/>
        <i val="0"/>
        <color rgb="FF009644"/>
      </font>
    </dxf>
    <dxf>
      <font>
        <b/>
        <i val="0"/>
        <color theme="1"/>
      </font>
    </dxf>
    <dxf>
      <font>
        <b/>
        <i val="0"/>
        <color rgb="FF009644"/>
      </font>
    </dxf>
    <dxf>
      <font>
        <b/>
        <i val="0"/>
        <color theme="1"/>
      </font>
    </dxf>
    <dxf>
      <font>
        <b/>
        <i val="0"/>
        <color rgb="FFFF0000"/>
      </font>
    </dxf>
    <dxf>
      <font>
        <b/>
        <i val="0"/>
        <color rgb="FFFF0000"/>
      </font>
    </dxf>
    <dxf>
      <font>
        <b/>
        <i val="0"/>
        <color rgb="FF009644"/>
      </font>
    </dxf>
    <dxf>
      <font>
        <color rgb="FFDDDDDD"/>
      </font>
    </dxf>
    <dxf>
      <font>
        <color rgb="FFDDDDDD"/>
      </font>
    </dxf>
    <dxf>
      <font>
        <color theme="0"/>
      </font>
    </dxf>
    <dxf>
      <font>
        <color rgb="FFDDDDDD"/>
      </font>
    </dxf>
    <dxf>
      <font>
        <color theme="0"/>
      </font>
    </dxf>
    <dxf>
      <font>
        <color rgb="FFDDDDDD"/>
      </font>
    </dxf>
    <dxf>
      <font>
        <color theme="0"/>
      </font>
    </dxf>
    <dxf>
      <font>
        <color rgb="FFDDDDDD"/>
      </font>
    </dxf>
    <dxf>
      <font>
        <color theme="0"/>
      </font>
    </dxf>
    <dxf>
      <font>
        <color theme="0"/>
      </font>
    </dxf>
    <dxf>
      <font>
        <color rgb="FFDDDDDD"/>
      </font>
    </dxf>
    <dxf>
      <font>
        <color rgb="FFDDDDDD"/>
      </font>
    </dxf>
    <dxf>
      <font>
        <b/>
        <i val="0"/>
        <color rgb="FFFF0000"/>
      </font>
      <border>
        <vertical/>
        <horizontal/>
      </border>
    </dxf>
    <dxf>
      <font>
        <b/>
        <i val="0"/>
        <color rgb="FFFF0000"/>
      </font>
      <border>
        <vertical/>
        <horizontal/>
      </border>
    </dxf>
    <dxf>
      <font>
        <color theme="0"/>
      </font>
    </dxf>
    <dxf>
      <font>
        <color rgb="FFDDDDDD"/>
      </font>
    </dxf>
    <dxf>
      <font>
        <color rgb="FFDDDDDD"/>
      </font>
    </dxf>
    <dxf>
      <font>
        <color rgb="FFDDDDDD"/>
      </font>
    </dxf>
    <dxf>
      <font>
        <color rgb="FFDDDDDD"/>
      </font>
    </dxf>
    <dxf>
      <font>
        <b/>
        <i val="0"/>
        <color rgb="FFFF0000"/>
      </font>
    </dxf>
    <dxf>
      <font>
        <b/>
        <i val="0"/>
        <color rgb="FFFF0000"/>
      </font>
    </dxf>
    <dxf>
      <font>
        <b/>
        <i val="0"/>
        <color rgb="FFFF0000"/>
      </font>
    </dxf>
    <dxf>
      <font>
        <b/>
        <i val="0"/>
        <color rgb="FFFF0000"/>
      </font>
    </dxf>
    <dxf>
      <font>
        <color rgb="FFDDDDDD"/>
      </font>
    </dxf>
    <dxf>
      <font>
        <color rgb="FFDDDDDD"/>
      </font>
    </dxf>
    <dxf>
      <font>
        <color rgb="FFDDDDDD"/>
      </font>
    </dxf>
    <dxf>
      <font>
        <color rgb="FFDDDDDD"/>
      </font>
    </dxf>
    <dxf>
      <font>
        <b/>
        <i val="0"/>
        <color rgb="FFFF0000"/>
      </font>
    </dxf>
    <dxf>
      <font>
        <b/>
        <i val="0"/>
        <color rgb="FFFF0000"/>
      </font>
    </dxf>
    <dxf>
      <font>
        <color rgb="FFDDDDDD"/>
      </font>
    </dxf>
    <dxf>
      <font>
        <color rgb="FFDDDDDD"/>
      </font>
    </dxf>
    <dxf>
      <font>
        <color theme="0"/>
      </font>
    </dxf>
    <dxf>
      <font>
        <color rgb="FFDDDDDD"/>
      </font>
    </dxf>
    <dxf>
      <font>
        <color rgb="FFDDDDDD"/>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rgb="FFDDDDDD"/>
      </font>
    </dxf>
    <dxf>
      <font>
        <color rgb="FFDDDDDD"/>
      </font>
    </dxf>
    <dxf>
      <font>
        <color rgb="FFDDDDDD"/>
      </font>
    </dxf>
    <dxf>
      <font>
        <color rgb="FFDDDDDD"/>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val="0"/>
        <i val="0"/>
        <color rgb="FFDDDDDD"/>
      </font>
    </dxf>
    <dxf>
      <font>
        <color theme="0" tint="-0.34998626667073579"/>
      </font>
    </dxf>
    <dxf>
      <font>
        <color theme="0" tint="-0.24994659260841701"/>
      </font>
    </dxf>
    <dxf>
      <font>
        <color rgb="FFDDDDDD"/>
      </font>
    </dxf>
    <dxf>
      <font>
        <b val="0"/>
        <i val="0"/>
        <color rgb="FFDDDDDD"/>
      </font>
      <fill>
        <patternFill>
          <bgColor rgb="FFDDDDDD"/>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colors>
    <mruColors>
      <color rgb="FFDDDDDD"/>
      <color rgb="FF9C9C9C"/>
      <color rgb="FFB20917"/>
      <color rgb="FFB30000"/>
      <color rgb="FFAF0917"/>
      <color rgb="FF009644"/>
      <color rgb="FF8C00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charts/_rels/chart10.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1.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2.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charts/_rels/chart14.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charts/_rels/chart16.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7.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8.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9.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charts/_rels/chart21.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charts/_rels/chart23.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4.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5.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6.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7.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charts/_rels/chart28.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charts/_rels/chart9.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196388888888891"/>
        </c:manualLayout>
      </c:layout>
      <c:scatterChart>
        <c:scatterStyle val="lineMarker"/>
        <c:varyColors val="0"/>
        <c:ser>
          <c:idx val="0"/>
          <c:order val="0"/>
          <c:tx>
            <c:strRef>
              <c:f>Berechnung!$T$31</c:f>
              <c:strCache>
                <c:ptCount val="1"/>
                <c:pt idx="0">
                  <c:v>Wand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A847-407F-9478-5540BDE05888}"/>
                </c:ext>
              </c:extLst>
            </c:dLbl>
            <c:dLbl>
              <c:idx val="1"/>
              <c:delete val="1"/>
              <c:extLst>
                <c:ext xmlns:c15="http://schemas.microsoft.com/office/drawing/2012/chart" uri="{CE6537A1-D6FC-4f65-9D91-7224C49458BB}"/>
                <c:ext xmlns:c16="http://schemas.microsoft.com/office/drawing/2014/chart" uri="{C3380CC4-5D6E-409C-BE32-E72D297353CC}">
                  <c16:uniqueId val="{00000001-A847-407F-9478-5540BDE05888}"/>
                </c:ext>
              </c:extLst>
            </c:dLbl>
            <c:dLbl>
              <c:idx val="2"/>
              <c:delete val="1"/>
              <c:extLst>
                <c:ext xmlns:c15="http://schemas.microsoft.com/office/drawing/2012/chart" uri="{CE6537A1-D6FC-4f65-9D91-7224C49458BB}"/>
                <c:ext xmlns:c16="http://schemas.microsoft.com/office/drawing/2014/chart" uri="{C3380CC4-5D6E-409C-BE32-E72D297353CC}">
                  <c16:uniqueId val="{00000002-A847-407F-9478-5540BDE05888}"/>
                </c:ext>
              </c:extLst>
            </c:dLbl>
            <c:dLbl>
              <c:idx val="3"/>
              <c:delete val="1"/>
              <c:extLst>
                <c:ext xmlns:c15="http://schemas.microsoft.com/office/drawing/2012/chart" uri="{CE6537A1-D6FC-4f65-9D91-7224C49458BB}"/>
                <c:ext xmlns:c16="http://schemas.microsoft.com/office/drawing/2014/chart" uri="{C3380CC4-5D6E-409C-BE32-E72D297353CC}">
                  <c16:uniqueId val="{00000003-A847-407F-9478-5540BDE05888}"/>
                </c:ext>
              </c:extLst>
            </c:dLbl>
            <c:dLbl>
              <c:idx val="4"/>
              <c:delete val="1"/>
              <c:extLst>
                <c:ext xmlns:c15="http://schemas.microsoft.com/office/drawing/2012/chart" uri="{CE6537A1-D6FC-4f65-9D91-7224C49458BB}"/>
                <c:ext xmlns:c16="http://schemas.microsoft.com/office/drawing/2014/chart" uri="{C3380CC4-5D6E-409C-BE32-E72D297353CC}">
                  <c16:uniqueId val="{00000004-A847-407F-9478-5540BDE058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Berechnung!$V$31:$AA$31</c:f>
              <c:numCache>
                <c:formatCode>General</c:formatCode>
                <c:ptCount val="6"/>
                <c:pt idx="0">
                  <c:v>0.125</c:v>
                </c:pt>
                <c:pt idx="1">
                  <c:v>0.125</c:v>
                </c:pt>
                <c:pt idx="2">
                  <c:v>-0.125</c:v>
                </c:pt>
                <c:pt idx="3">
                  <c:v>-0.125</c:v>
                </c:pt>
                <c:pt idx="4">
                  <c:v>0.125</c:v>
                </c:pt>
                <c:pt idx="5">
                  <c:v>0.125</c:v>
                </c:pt>
              </c:numCache>
            </c:numRef>
          </c:xVal>
          <c:yVal>
            <c:numRef>
              <c:f>Berechnung!$V$32:$AA$32</c:f>
              <c:numCache>
                <c:formatCode>General</c:formatCode>
                <c:ptCount val="6"/>
                <c:pt idx="0">
                  <c:v>0</c:v>
                </c:pt>
                <c:pt idx="1">
                  <c:v>3</c:v>
                </c:pt>
                <c:pt idx="2">
                  <c:v>3</c:v>
                </c:pt>
                <c:pt idx="3">
                  <c:v>0</c:v>
                </c:pt>
                <c:pt idx="4">
                  <c:v>0</c:v>
                </c:pt>
                <c:pt idx="5">
                  <c:v>1.5</c:v>
                </c:pt>
              </c:numCache>
            </c:numRef>
          </c:yVal>
          <c:smooth val="0"/>
          <c:extLst>
            <c:ext xmlns:c16="http://schemas.microsoft.com/office/drawing/2014/chart" uri="{C3380CC4-5D6E-409C-BE32-E72D297353CC}">
              <c16:uniqueId val="{00000005-A847-407F-9478-5540BDE05888}"/>
            </c:ext>
          </c:extLst>
        </c:ser>
        <c:ser>
          <c:idx val="1"/>
          <c:order val="1"/>
          <c:tx>
            <c:strRef>
              <c:f>Berechnung!$T$33</c:f>
              <c:strCache>
                <c:ptCount val="1"/>
                <c:pt idx="0">
                  <c:v>Wand 2</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A847-407F-9478-5540BDE05888}"/>
                </c:ext>
              </c:extLst>
            </c:dLbl>
            <c:dLbl>
              <c:idx val="1"/>
              <c:delete val="1"/>
              <c:extLst>
                <c:ext xmlns:c15="http://schemas.microsoft.com/office/drawing/2012/chart" uri="{CE6537A1-D6FC-4f65-9D91-7224C49458BB}"/>
                <c:ext xmlns:c16="http://schemas.microsoft.com/office/drawing/2014/chart" uri="{C3380CC4-5D6E-409C-BE32-E72D297353CC}">
                  <c16:uniqueId val="{00000007-A847-407F-9478-5540BDE05888}"/>
                </c:ext>
              </c:extLst>
            </c:dLbl>
            <c:dLbl>
              <c:idx val="2"/>
              <c:delete val="1"/>
              <c:extLst>
                <c:ext xmlns:c15="http://schemas.microsoft.com/office/drawing/2012/chart" uri="{CE6537A1-D6FC-4f65-9D91-7224C49458BB}"/>
                <c:ext xmlns:c16="http://schemas.microsoft.com/office/drawing/2014/chart" uri="{C3380CC4-5D6E-409C-BE32-E72D297353CC}">
                  <c16:uniqueId val="{00000008-A847-407F-9478-5540BDE05888}"/>
                </c:ext>
              </c:extLst>
            </c:dLbl>
            <c:dLbl>
              <c:idx val="3"/>
              <c:delete val="1"/>
              <c:extLst>
                <c:ext xmlns:c15="http://schemas.microsoft.com/office/drawing/2012/chart" uri="{CE6537A1-D6FC-4f65-9D91-7224C49458BB}"/>
                <c:ext xmlns:c16="http://schemas.microsoft.com/office/drawing/2014/chart" uri="{C3380CC4-5D6E-409C-BE32-E72D297353CC}">
                  <c16:uniqueId val="{00000009-A847-407F-9478-5540BDE05888}"/>
                </c:ext>
              </c:extLst>
            </c:dLbl>
            <c:dLbl>
              <c:idx val="4"/>
              <c:delete val="1"/>
              <c:extLst>
                <c:ext xmlns:c15="http://schemas.microsoft.com/office/drawing/2012/chart" uri="{CE6537A1-D6FC-4f65-9D91-7224C49458BB}"/>
                <c:ext xmlns:c16="http://schemas.microsoft.com/office/drawing/2014/chart" uri="{C3380CC4-5D6E-409C-BE32-E72D297353CC}">
                  <c16:uniqueId val="{0000000A-A847-407F-9478-5540BDE0588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Berechnung!$V$33:$AA$33</c:f>
              <c:numCache>
                <c:formatCode>General</c:formatCode>
                <c:ptCount val="6"/>
                <c:pt idx="0">
                  <c:v>0.1825</c:v>
                </c:pt>
                <c:pt idx="1">
                  <c:v>0.1825</c:v>
                </c:pt>
                <c:pt idx="2">
                  <c:v>-0.1825</c:v>
                </c:pt>
                <c:pt idx="3">
                  <c:v>-0.1825</c:v>
                </c:pt>
                <c:pt idx="4">
                  <c:v>0.1825</c:v>
                </c:pt>
                <c:pt idx="5">
                  <c:v>0.1825</c:v>
                </c:pt>
              </c:numCache>
            </c:numRef>
          </c:xVal>
          <c:yVal>
            <c:numRef>
              <c:f>Berechnung!$V$34:$AA$34</c:f>
              <c:numCache>
                <c:formatCode>General</c:formatCode>
                <c:ptCount val="6"/>
                <c:pt idx="0">
                  <c:v>3.22</c:v>
                </c:pt>
                <c:pt idx="1">
                  <c:v>6.62</c:v>
                </c:pt>
                <c:pt idx="2">
                  <c:v>6.62</c:v>
                </c:pt>
                <c:pt idx="3">
                  <c:v>3.22</c:v>
                </c:pt>
                <c:pt idx="4">
                  <c:v>3.22</c:v>
                </c:pt>
                <c:pt idx="5">
                  <c:v>4.92</c:v>
                </c:pt>
              </c:numCache>
            </c:numRef>
          </c:yVal>
          <c:smooth val="0"/>
          <c:extLst>
            <c:ext xmlns:c16="http://schemas.microsoft.com/office/drawing/2014/chart" uri="{C3380CC4-5D6E-409C-BE32-E72D297353CC}">
              <c16:uniqueId val="{0000000B-A847-407F-9478-5540BDE05888}"/>
            </c:ext>
          </c:extLst>
        </c:ser>
        <c:ser>
          <c:idx val="2"/>
          <c:order val="2"/>
          <c:tx>
            <c:strRef>
              <c:f>Berechnung!$T$35</c:f>
              <c:strCache>
                <c:ptCount val="1"/>
                <c:pt idx="0">
                  <c:v>Wand 3</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A847-407F-9478-5540BDE05888}"/>
                </c:ext>
              </c:extLst>
            </c:dLbl>
            <c:dLbl>
              <c:idx val="1"/>
              <c:delete val="1"/>
              <c:extLst>
                <c:ext xmlns:c15="http://schemas.microsoft.com/office/drawing/2012/chart" uri="{CE6537A1-D6FC-4f65-9D91-7224C49458BB}"/>
                <c:ext xmlns:c16="http://schemas.microsoft.com/office/drawing/2014/chart" uri="{C3380CC4-5D6E-409C-BE32-E72D297353CC}">
                  <c16:uniqueId val="{0000000D-A847-407F-9478-5540BDE05888}"/>
                </c:ext>
              </c:extLst>
            </c:dLbl>
            <c:dLbl>
              <c:idx val="2"/>
              <c:delete val="1"/>
              <c:extLst>
                <c:ext xmlns:c15="http://schemas.microsoft.com/office/drawing/2012/chart" uri="{CE6537A1-D6FC-4f65-9D91-7224C49458BB}"/>
                <c:ext xmlns:c16="http://schemas.microsoft.com/office/drawing/2014/chart" uri="{C3380CC4-5D6E-409C-BE32-E72D297353CC}">
                  <c16:uniqueId val="{0000000E-A847-407F-9478-5540BDE05888}"/>
                </c:ext>
              </c:extLst>
            </c:dLbl>
            <c:dLbl>
              <c:idx val="3"/>
              <c:delete val="1"/>
              <c:extLst>
                <c:ext xmlns:c15="http://schemas.microsoft.com/office/drawing/2012/chart" uri="{CE6537A1-D6FC-4f65-9D91-7224C49458BB}"/>
                <c:ext xmlns:c16="http://schemas.microsoft.com/office/drawing/2014/chart" uri="{C3380CC4-5D6E-409C-BE32-E72D297353CC}">
                  <c16:uniqueId val="{0000000F-A847-407F-9478-5540BDE05888}"/>
                </c:ext>
              </c:extLst>
            </c:dLbl>
            <c:dLbl>
              <c:idx val="4"/>
              <c:delete val="1"/>
              <c:extLst>
                <c:ext xmlns:c15="http://schemas.microsoft.com/office/drawing/2012/chart" uri="{CE6537A1-D6FC-4f65-9D91-7224C49458BB}"/>
                <c:ext xmlns:c16="http://schemas.microsoft.com/office/drawing/2014/chart" uri="{C3380CC4-5D6E-409C-BE32-E72D297353CC}">
                  <c16:uniqueId val="{00000010-A847-407F-9478-5540BDE058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Berechnung!$V$35:$AA$35</c:f>
              <c:numCache>
                <c:formatCode>General</c:formatCode>
                <c:ptCount val="6"/>
                <c:pt idx="0">
                  <c:v>0.1825</c:v>
                </c:pt>
                <c:pt idx="1">
                  <c:v>0.1825</c:v>
                </c:pt>
                <c:pt idx="2">
                  <c:v>-0.1825</c:v>
                </c:pt>
                <c:pt idx="3">
                  <c:v>-0.1825</c:v>
                </c:pt>
                <c:pt idx="4">
                  <c:v>0.1825</c:v>
                </c:pt>
                <c:pt idx="5">
                  <c:v>0.1825</c:v>
                </c:pt>
              </c:numCache>
            </c:numRef>
          </c:xVal>
          <c:yVal>
            <c:numRef>
              <c:f>Berechnung!$V$36:$AA$36</c:f>
              <c:numCache>
                <c:formatCode>General</c:formatCode>
                <c:ptCount val="6"/>
                <c:pt idx="0">
                  <c:v>6.84</c:v>
                </c:pt>
                <c:pt idx="1">
                  <c:v>10.24</c:v>
                </c:pt>
                <c:pt idx="2">
                  <c:v>10.24</c:v>
                </c:pt>
                <c:pt idx="3">
                  <c:v>6.84</c:v>
                </c:pt>
                <c:pt idx="4">
                  <c:v>6.84</c:v>
                </c:pt>
                <c:pt idx="5">
                  <c:v>8.5399999999999991</c:v>
                </c:pt>
              </c:numCache>
            </c:numRef>
          </c:yVal>
          <c:smooth val="0"/>
          <c:extLst>
            <c:ext xmlns:c16="http://schemas.microsoft.com/office/drawing/2014/chart" uri="{C3380CC4-5D6E-409C-BE32-E72D297353CC}">
              <c16:uniqueId val="{00000011-A847-407F-9478-5540BDE05888}"/>
            </c:ext>
          </c:extLst>
        </c:ser>
        <c:ser>
          <c:idx val="3"/>
          <c:order val="3"/>
          <c:tx>
            <c:strRef>
              <c:f>Berechnung!$T$38</c:f>
              <c:strCache>
                <c:ptCount val="1"/>
                <c:pt idx="0">
                  <c:v>Decke 1</c:v>
                </c:pt>
              </c:strCache>
            </c:strRef>
          </c:tx>
          <c:spPr>
            <a:ln w="19050" cap="rnd">
              <a:solidFill>
                <a:schemeClr val="tx1"/>
              </a:solidFill>
              <a:round/>
            </a:ln>
            <a:effectLst/>
          </c:spPr>
          <c:marker>
            <c:symbol val="none"/>
          </c:marker>
          <c:dPt>
            <c:idx val="1"/>
            <c:bubble3D val="0"/>
            <c:extLst>
              <c:ext xmlns:c16="http://schemas.microsoft.com/office/drawing/2014/chart" uri="{C3380CC4-5D6E-409C-BE32-E72D297353CC}">
                <c16:uniqueId val="{00000013-A847-407F-9478-5540BDE05888}"/>
              </c:ext>
            </c:extLst>
          </c:dPt>
          <c:dLbls>
            <c:dLbl>
              <c:idx val="0"/>
              <c:delete val="1"/>
              <c:extLst>
                <c:ext xmlns:c15="http://schemas.microsoft.com/office/drawing/2012/chart" uri="{CE6537A1-D6FC-4f65-9D91-7224C49458BB}"/>
                <c:ext xmlns:c16="http://schemas.microsoft.com/office/drawing/2014/chart" uri="{C3380CC4-5D6E-409C-BE32-E72D297353CC}">
                  <c16:uniqueId val="{00000012-A847-407F-9478-5540BDE05888}"/>
                </c:ext>
              </c:extLst>
            </c:dLbl>
            <c:dLbl>
              <c:idx val="1"/>
              <c:delete val="1"/>
              <c:extLst>
                <c:ext xmlns:c15="http://schemas.microsoft.com/office/drawing/2012/chart" uri="{CE6537A1-D6FC-4f65-9D91-7224C49458BB}"/>
                <c:ext xmlns:c16="http://schemas.microsoft.com/office/drawing/2014/chart" uri="{C3380CC4-5D6E-409C-BE32-E72D297353CC}">
                  <c16:uniqueId val="{00000013-A847-407F-9478-5540BDE05888}"/>
                </c:ext>
              </c:extLst>
            </c:dLbl>
            <c:dLbl>
              <c:idx val="2"/>
              <c:delete val="1"/>
              <c:extLst>
                <c:ext xmlns:c15="http://schemas.microsoft.com/office/drawing/2012/chart" uri="{CE6537A1-D6FC-4f65-9D91-7224C49458BB}"/>
                <c:ext xmlns:c16="http://schemas.microsoft.com/office/drawing/2014/chart" uri="{C3380CC4-5D6E-409C-BE32-E72D297353CC}">
                  <c16:uniqueId val="{00000014-A847-407F-9478-5540BDE05888}"/>
                </c:ext>
              </c:extLst>
            </c:dLbl>
            <c:dLbl>
              <c:idx val="3"/>
              <c:delete val="1"/>
              <c:extLst>
                <c:ext xmlns:c15="http://schemas.microsoft.com/office/drawing/2012/chart" uri="{CE6537A1-D6FC-4f65-9D91-7224C49458BB}"/>
                <c:ext xmlns:c16="http://schemas.microsoft.com/office/drawing/2014/chart" uri="{C3380CC4-5D6E-409C-BE32-E72D297353CC}">
                  <c16:uniqueId val="{00000015-A847-407F-9478-5540BDE05888}"/>
                </c:ext>
              </c:extLst>
            </c:dLbl>
            <c:dLbl>
              <c:idx val="5"/>
              <c:delete val="1"/>
              <c:extLst>
                <c:ext xmlns:c15="http://schemas.microsoft.com/office/drawing/2012/chart" uri="{CE6537A1-D6FC-4f65-9D91-7224C49458BB}"/>
                <c:ext xmlns:c16="http://schemas.microsoft.com/office/drawing/2014/chart" uri="{C3380CC4-5D6E-409C-BE32-E72D297353CC}">
                  <c16:uniqueId val="{00000004-0E15-4D59-A4CB-F2D3CE2C2E33}"/>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Berechnung!$V$38:$AA$38</c:f>
              <c:numCache>
                <c:formatCode>General</c:formatCode>
                <c:ptCount val="6"/>
                <c:pt idx="0">
                  <c:v>-0.14750000000000002</c:v>
                </c:pt>
                <c:pt idx="1">
                  <c:v>-0.14750000000000002</c:v>
                </c:pt>
                <c:pt idx="2">
                  <c:v>6.0324999999999998</c:v>
                </c:pt>
                <c:pt idx="3">
                  <c:v>6.0324999999999998</c:v>
                </c:pt>
                <c:pt idx="4">
                  <c:v>3.1074999999999999</c:v>
                </c:pt>
                <c:pt idx="5">
                  <c:v>-0.14750000000000002</c:v>
                </c:pt>
              </c:numCache>
            </c:numRef>
          </c:xVal>
          <c:yVal>
            <c:numRef>
              <c:f>Berechnung!$V$39:$AA$39</c:f>
              <c:numCache>
                <c:formatCode>General</c:formatCode>
                <c:ptCount val="6"/>
                <c:pt idx="0">
                  <c:v>3</c:v>
                </c:pt>
                <c:pt idx="1">
                  <c:v>3.22</c:v>
                </c:pt>
                <c:pt idx="2">
                  <c:v>3.22</c:v>
                </c:pt>
                <c:pt idx="3">
                  <c:v>3</c:v>
                </c:pt>
                <c:pt idx="4">
                  <c:v>3</c:v>
                </c:pt>
                <c:pt idx="5">
                  <c:v>3</c:v>
                </c:pt>
              </c:numCache>
            </c:numRef>
          </c:yVal>
          <c:smooth val="0"/>
          <c:extLst>
            <c:ext xmlns:c16="http://schemas.microsoft.com/office/drawing/2014/chart" uri="{C3380CC4-5D6E-409C-BE32-E72D297353CC}">
              <c16:uniqueId val="{00000017-A847-407F-9478-5540BDE05888}"/>
            </c:ext>
          </c:extLst>
        </c:ser>
        <c:ser>
          <c:idx val="4"/>
          <c:order val="4"/>
          <c:tx>
            <c:strRef>
              <c:f>Berechnung!$T$40</c:f>
              <c:strCache>
                <c:ptCount val="1"/>
                <c:pt idx="0">
                  <c:v>Decke 2</c:v>
                </c:pt>
              </c:strCache>
            </c:strRef>
          </c:tx>
          <c:spPr>
            <a:ln w="19050" cap="rnd">
              <a:solidFill>
                <a:schemeClr val="tx1"/>
              </a:solidFill>
              <a:round/>
            </a:ln>
            <a:effectLst/>
          </c:spPr>
          <c:marker>
            <c:symbol val="none"/>
          </c:marker>
          <c:dPt>
            <c:idx val="1"/>
            <c:bubble3D val="0"/>
            <c:extLst>
              <c:ext xmlns:c16="http://schemas.microsoft.com/office/drawing/2014/chart" uri="{C3380CC4-5D6E-409C-BE32-E72D297353CC}">
                <c16:uniqueId val="{00000019-A847-407F-9478-5540BDE05888}"/>
              </c:ext>
            </c:extLst>
          </c:dPt>
          <c:dLbls>
            <c:dLbl>
              <c:idx val="0"/>
              <c:delete val="1"/>
              <c:extLst>
                <c:ext xmlns:c15="http://schemas.microsoft.com/office/drawing/2012/chart" uri="{CE6537A1-D6FC-4f65-9D91-7224C49458BB}"/>
                <c:ext xmlns:c16="http://schemas.microsoft.com/office/drawing/2014/chart" uri="{C3380CC4-5D6E-409C-BE32-E72D297353CC}">
                  <c16:uniqueId val="{00000018-A847-407F-9478-5540BDE05888}"/>
                </c:ext>
              </c:extLst>
            </c:dLbl>
            <c:dLbl>
              <c:idx val="1"/>
              <c:delete val="1"/>
              <c:extLst>
                <c:ext xmlns:c15="http://schemas.microsoft.com/office/drawing/2012/chart" uri="{CE6537A1-D6FC-4f65-9D91-7224C49458BB}"/>
                <c:ext xmlns:c16="http://schemas.microsoft.com/office/drawing/2014/chart" uri="{C3380CC4-5D6E-409C-BE32-E72D297353CC}">
                  <c16:uniqueId val="{00000019-A847-407F-9478-5540BDE05888}"/>
                </c:ext>
              </c:extLst>
            </c:dLbl>
            <c:dLbl>
              <c:idx val="2"/>
              <c:delete val="1"/>
              <c:extLst>
                <c:ext xmlns:c15="http://schemas.microsoft.com/office/drawing/2012/chart" uri="{CE6537A1-D6FC-4f65-9D91-7224C49458BB}"/>
                <c:ext xmlns:c16="http://schemas.microsoft.com/office/drawing/2014/chart" uri="{C3380CC4-5D6E-409C-BE32-E72D297353CC}">
                  <c16:uniqueId val="{0000001A-A847-407F-9478-5540BDE05888}"/>
                </c:ext>
              </c:extLst>
            </c:dLbl>
            <c:dLbl>
              <c:idx val="3"/>
              <c:delete val="1"/>
              <c:extLst>
                <c:ext xmlns:c15="http://schemas.microsoft.com/office/drawing/2012/chart" uri="{CE6537A1-D6FC-4f65-9D91-7224C49458BB}"/>
                <c:ext xmlns:c16="http://schemas.microsoft.com/office/drawing/2014/chart" uri="{C3380CC4-5D6E-409C-BE32-E72D297353CC}">
                  <c16:uniqueId val="{0000001B-A847-407F-9478-5540BDE05888}"/>
                </c:ext>
              </c:extLst>
            </c:dLbl>
            <c:dLbl>
              <c:idx val="5"/>
              <c:delete val="1"/>
              <c:extLst>
                <c:ext xmlns:c15="http://schemas.microsoft.com/office/drawing/2012/chart" uri="{CE6537A1-D6FC-4f65-9D91-7224C49458BB}"/>
                <c:ext xmlns:c16="http://schemas.microsoft.com/office/drawing/2014/chart" uri="{C3380CC4-5D6E-409C-BE32-E72D297353CC}">
                  <c16:uniqueId val="{00000005-0E15-4D59-A4CB-F2D3CE2C2E33}"/>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Berechnung!$V$40:$AA$40</c:f>
              <c:numCache>
                <c:formatCode>General</c:formatCode>
                <c:ptCount val="6"/>
                <c:pt idx="0">
                  <c:v>-0.14750000000000002</c:v>
                </c:pt>
                <c:pt idx="1">
                  <c:v>-0.14750000000000002</c:v>
                </c:pt>
                <c:pt idx="2">
                  <c:v>6.0324999999999998</c:v>
                </c:pt>
                <c:pt idx="3">
                  <c:v>6.0324999999999998</c:v>
                </c:pt>
                <c:pt idx="4">
                  <c:v>3.1074999999999999</c:v>
                </c:pt>
                <c:pt idx="5">
                  <c:v>-0.14750000000000002</c:v>
                </c:pt>
              </c:numCache>
            </c:numRef>
          </c:xVal>
          <c:yVal>
            <c:numRef>
              <c:f>Berechnung!$V$41:$AA$41</c:f>
              <c:numCache>
                <c:formatCode>General</c:formatCode>
                <c:ptCount val="6"/>
                <c:pt idx="0">
                  <c:v>6.62</c:v>
                </c:pt>
                <c:pt idx="1">
                  <c:v>6.84</c:v>
                </c:pt>
                <c:pt idx="2">
                  <c:v>6.84</c:v>
                </c:pt>
                <c:pt idx="3">
                  <c:v>6.62</c:v>
                </c:pt>
                <c:pt idx="4">
                  <c:v>6.62</c:v>
                </c:pt>
                <c:pt idx="5">
                  <c:v>6.62</c:v>
                </c:pt>
              </c:numCache>
            </c:numRef>
          </c:yVal>
          <c:smooth val="0"/>
          <c:extLst>
            <c:ext xmlns:c16="http://schemas.microsoft.com/office/drawing/2014/chart" uri="{C3380CC4-5D6E-409C-BE32-E72D297353CC}">
              <c16:uniqueId val="{0000001D-A847-407F-9478-5540BDE05888}"/>
            </c:ext>
          </c:extLst>
        </c:ser>
        <c:ser>
          <c:idx val="5"/>
          <c:order val="5"/>
          <c:tx>
            <c:strRef>
              <c:f>Berechnung!$T$42</c:f>
              <c:strCache>
                <c:ptCount val="1"/>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E-A847-407F-9478-5540BDE05888}"/>
                </c:ext>
              </c:extLst>
            </c:dLbl>
            <c:dLbl>
              <c:idx val="1"/>
              <c:delete val="1"/>
              <c:extLst>
                <c:ext xmlns:c15="http://schemas.microsoft.com/office/drawing/2012/chart" uri="{CE6537A1-D6FC-4f65-9D91-7224C49458BB}"/>
                <c:ext xmlns:c16="http://schemas.microsoft.com/office/drawing/2014/chart" uri="{C3380CC4-5D6E-409C-BE32-E72D297353CC}">
                  <c16:uniqueId val="{0000001F-A847-407F-9478-5540BDE05888}"/>
                </c:ext>
              </c:extLst>
            </c:dLbl>
            <c:dLbl>
              <c:idx val="2"/>
              <c:delete val="1"/>
              <c:extLst>
                <c:ext xmlns:c15="http://schemas.microsoft.com/office/drawing/2012/chart" uri="{CE6537A1-D6FC-4f65-9D91-7224C49458BB}"/>
                <c:ext xmlns:c16="http://schemas.microsoft.com/office/drawing/2014/chart" uri="{C3380CC4-5D6E-409C-BE32-E72D297353CC}">
                  <c16:uniqueId val="{00000020-A847-407F-9478-5540BDE05888}"/>
                </c:ext>
              </c:extLst>
            </c:dLbl>
            <c:dLbl>
              <c:idx val="3"/>
              <c:delete val="1"/>
              <c:extLst>
                <c:ext xmlns:c15="http://schemas.microsoft.com/office/drawing/2012/chart" uri="{CE6537A1-D6FC-4f65-9D91-7224C49458BB}"/>
                <c:ext xmlns:c16="http://schemas.microsoft.com/office/drawing/2014/chart" uri="{C3380CC4-5D6E-409C-BE32-E72D297353CC}">
                  <c16:uniqueId val="{00000021-A847-407F-9478-5540BDE05888}"/>
                </c:ext>
              </c:extLst>
            </c:dLbl>
            <c:dLbl>
              <c:idx val="5"/>
              <c:delete val="1"/>
              <c:extLst>
                <c:ext xmlns:c15="http://schemas.microsoft.com/office/drawing/2012/chart" uri="{CE6537A1-D6FC-4f65-9D91-7224C49458BB}"/>
                <c:ext xmlns:c16="http://schemas.microsoft.com/office/drawing/2014/chart" uri="{C3380CC4-5D6E-409C-BE32-E72D297353CC}">
                  <c16:uniqueId val="{00000007-0E15-4D59-A4CB-F2D3CE2C2E33}"/>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Berechnung!$V$42:$AA$42</c:f>
              <c:numCache>
                <c:formatCode>General</c:formatCode>
                <c:ptCount val="6"/>
                <c:pt idx="0">
                  <c:v>0</c:v>
                </c:pt>
                <c:pt idx="1">
                  <c:v>0</c:v>
                </c:pt>
                <c:pt idx="2">
                  <c:v>0</c:v>
                </c:pt>
                <c:pt idx="3">
                  <c:v>0</c:v>
                </c:pt>
                <c:pt idx="4">
                  <c:v>0</c:v>
                </c:pt>
                <c:pt idx="5">
                  <c:v>0</c:v>
                </c:pt>
              </c:numCache>
            </c:numRef>
          </c:xVal>
          <c:yVal>
            <c:numRef>
              <c:f>Berechnung!$V$43:$AA$43</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23-A847-407F-9478-5540BDE05888}"/>
            </c:ext>
          </c:extLst>
        </c:ser>
        <c:ser>
          <c:idx val="6"/>
          <c:order val="6"/>
          <c:tx>
            <c:strRef>
              <c:f>Berechnung!$T$44</c:f>
              <c:strCache>
                <c:ptCount val="1"/>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4-A847-407F-9478-5540BDE05888}"/>
                </c:ext>
              </c:extLst>
            </c:dLbl>
            <c:dLbl>
              <c:idx val="1"/>
              <c:delete val="1"/>
              <c:extLst>
                <c:ext xmlns:c15="http://schemas.microsoft.com/office/drawing/2012/chart" uri="{CE6537A1-D6FC-4f65-9D91-7224C49458BB}"/>
                <c:ext xmlns:c16="http://schemas.microsoft.com/office/drawing/2014/chart" uri="{C3380CC4-5D6E-409C-BE32-E72D297353CC}">
                  <c16:uniqueId val="{00000025-A847-407F-9478-5540BDE05888}"/>
                </c:ext>
              </c:extLst>
            </c:dLbl>
            <c:dLbl>
              <c:idx val="2"/>
              <c:delete val="1"/>
              <c:extLst>
                <c:ext xmlns:c15="http://schemas.microsoft.com/office/drawing/2012/chart" uri="{CE6537A1-D6FC-4f65-9D91-7224C49458BB}"/>
                <c:ext xmlns:c16="http://schemas.microsoft.com/office/drawing/2014/chart" uri="{C3380CC4-5D6E-409C-BE32-E72D297353CC}">
                  <c16:uniqueId val="{00000026-A847-407F-9478-5540BDE05888}"/>
                </c:ext>
              </c:extLst>
            </c:dLbl>
            <c:dLbl>
              <c:idx val="3"/>
              <c:delete val="1"/>
              <c:extLst>
                <c:ext xmlns:c15="http://schemas.microsoft.com/office/drawing/2012/chart" uri="{CE6537A1-D6FC-4f65-9D91-7224C49458BB}"/>
                <c:ext xmlns:c16="http://schemas.microsoft.com/office/drawing/2014/chart" uri="{C3380CC4-5D6E-409C-BE32-E72D297353CC}">
                  <c16:uniqueId val="{00000027-A847-407F-9478-5540BDE05888}"/>
                </c:ext>
              </c:extLst>
            </c:dLbl>
            <c:dLbl>
              <c:idx val="5"/>
              <c:delete val="1"/>
              <c:extLst>
                <c:ext xmlns:c15="http://schemas.microsoft.com/office/drawing/2012/chart" uri="{CE6537A1-D6FC-4f65-9D91-7224C49458BB}"/>
                <c:ext xmlns:c16="http://schemas.microsoft.com/office/drawing/2014/chart" uri="{C3380CC4-5D6E-409C-BE32-E72D297353CC}">
                  <c16:uniqueId val="{00000006-0E15-4D59-A4CB-F2D3CE2C2E33}"/>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Berechnung!$V$44:$AA$44</c:f>
              <c:numCache>
                <c:formatCode>General</c:formatCode>
                <c:ptCount val="6"/>
                <c:pt idx="0">
                  <c:v>0</c:v>
                </c:pt>
                <c:pt idx="1">
                  <c:v>0</c:v>
                </c:pt>
                <c:pt idx="2">
                  <c:v>0</c:v>
                </c:pt>
                <c:pt idx="3">
                  <c:v>0</c:v>
                </c:pt>
                <c:pt idx="4">
                  <c:v>0</c:v>
                </c:pt>
                <c:pt idx="5">
                  <c:v>0</c:v>
                </c:pt>
              </c:numCache>
            </c:numRef>
          </c:xVal>
          <c:yVal>
            <c:numRef>
              <c:f>Berechnung!$V$45:$AA$45</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29-A847-407F-9478-5540BDE05888}"/>
            </c:ext>
          </c:extLst>
        </c:ser>
        <c:ser>
          <c:idx val="11"/>
          <c:order val="7"/>
          <c:tx>
            <c:strRef>
              <c:f>Berechnung!$T$46</c:f>
              <c:strCache>
                <c:ptCount val="1"/>
                <c:pt idx="0">
                  <c:v>Outline</c:v>
                </c:pt>
              </c:strCache>
            </c:strRef>
          </c:tx>
          <c:spPr>
            <a:ln w="19050" cap="rnd">
              <a:noFill/>
              <a:round/>
            </a:ln>
            <a:effectLst/>
          </c:spPr>
          <c:marker>
            <c:symbol val="none"/>
          </c:marker>
          <c:dLbls>
            <c:delete val="1"/>
          </c:dLbls>
          <c:xVal>
            <c:numRef>
              <c:f>Berechnung!$V$46:$W$46</c:f>
              <c:numCache>
                <c:formatCode>General</c:formatCode>
                <c:ptCount val="2"/>
                <c:pt idx="0">
                  <c:v>11.264000000000001</c:v>
                </c:pt>
                <c:pt idx="1">
                  <c:v>-11.264000000000001</c:v>
                </c:pt>
              </c:numCache>
            </c:numRef>
          </c:xVal>
          <c:yVal>
            <c:numRef>
              <c:f>Berechnung!$V$47:$W$47</c:f>
              <c:numCache>
                <c:formatCode>General</c:formatCode>
                <c:ptCount val="2"/>
                <c:pt idx="0">
                  <c:v>11.264000000000001</c:v>
                </c:pt>
                <c:pt idx="1">
                  <c:v>11.264000000000001</c:v>
                </c:pt>
              </c:numCache>
            </c:numRef>
          </c:yVal>
          <c:smooth val="0"/>
          <c:extLst>
            <c:ext xmlns:c16="http://schemas.microsoft.com/office/drawing/2014/chart" uri="{C3380CC4-5D6E-409C-BE32-E72D297353CC}">
              <c16:uniqueId val="{0000002E-A847-407F-9478-5540BDE05888}"/>
            </c:ext>
          </c:extLst>
        </c:ser>
        <c:ser>
          <c:idx val="12"/>
          <c:order val="8"/>
          <c:tx>
            <c:strRef>
              <c:f>Berechnung!$X$51</c:f>
              <c:strCache>
                <c:ptCount val="1"/>
              </c:strCache>
            </c:strRef>
          </c:tx>
          <c:spPr>
            <a:ln w="19050" cap="rnd">
              <a:solidFill>
                <a:schemeClr val="accent1">
                  <a:lumMod val="80000"/>
                  <a:lumOff val="20000"/>
                </a:schemeClr>
              </a:solidFill>
              <a:round/>
            </a:ln>
            <a:effectLst/>
          </c:spPr>
          <c:marker>
            <c:symbol val="none"/>
          </c:marker>
          <c:dPt>
            <c:idx val="1"/>
            <c:bubble3D val="0"/>
            <c:spPr>
              <a:ln w="19050" cap="rnd">
                <a:solidFill>
                  <a:srgbClr val="C00000"/>
                </a:solidFill>
                <a:round/>
                <a:tailEnd type="triangle"/>
              </a:ln>
              <a:effectLst/>
            </c:spPr>
            <c:extLst>
              <c:ext xmlns:c16="http://schemas.microsoft.com/office/drawing/2014/chart" uri="{C3380CC4-5D6E-409C-BE32-E72D297353CC}">
                <c16:uniqueId val="{00000001-AEF8-4CBF-A166-A1F9B12CA66C}"/>
              </c:ext>
            </c:extLst>
          </c:dPt>
          <c:dLbls>
            <c:dLbl>
              <c:idx val="0"/>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AEF8-4CBF-A166-A1F9B12CA66C}"/>
                </c:ext>
              </c:extLst>
            </c:dLbl>
            <c:dLbl>
              <c:idx val="1"/>
              <c:delete val="1"/>
              <c:extLst>
                <c:ext xmlns:c15="http://schemas.microsoft.com/office/drawing/2012/chart" uri="{CE6537A1-D6FC-4f65-9D91-7224C49458BB}"/>
                <c:ext xmlns:c16="http://schemas.microsoft.com/office/drawing/2014/chart" uri="{C3380CC4-5D6E-409C-BE32-E72D297353CC}">
                  <c16:uniqueId val="{00000001-AEF8-4CBF-A166-A1F9B12CA66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Berechnung!$V$51:$W$51</c:f>
              <c:numCache>
                <c:formatCode>General</c:formatCode>
                <c:ptCount val="2"/>
                <c:pt idx="0">
                  <c:v>0</c:v>
                </c:pt>
                <c:pt idx="1">
                  <c:v>0</c:v>
                </c:pt>
              </c:numCache>
            </c:numRef>
          </c:xVal>
          <c:yVal>
            <c:numRef>
              <c:f>Berechnung!$V$52:$W$52</c:f>
              <c:numCache>
                <c:formatCode>General</c:formatCode>
                <c:ptCount val="2"/>
                <c:pt idx="0">
                  <c:v>-5</c:v>
                </c:pt>
                <c:pt idx="1">
                  <c:v>-5</c:v>
                </c:pt>
              </c:numCache>
            </c:numRef>
          </c:yVal>
          <c:smooth val="0"/>
          <c:extLst>
            <c:ext xmlns:c16="http://schemas.microsoft.com/office/drawing/2014/chart" uri="{C3380CC4-5D6E-409C-BE32-E72D297353CC}">
              <c16:uniqueId val="{00000000-AEF8-4CBF-A166-A1F9B12CA66C}"/>
            </c:ext>
          </c:extLst>
        </c:ser>
        <c:ser>
          <c:idx val="13"/>
          <c:order val="9"/>
          <c:tx>
            <c:strRef>
              <c:f>Berechnung!$X$53</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06-AEF8-4CBF-A166-A1F9B12CA66C}"/>
                </c:ext>
              </c:extLst>
            </c:dLbl>
            <c:spPr>
              <a:noFill/>
              <a:ln>
                <a:noFill/>
              </a:ln>
              <a:effectLst/>
            </c:spPr>
            <c:txPr>
              <a:bodyPr rot="0" spcFirstLastPara="1" vertOverflow="ellipsis" vert="horz" wrap="square" lIns="38100" tIns="19050" rIns="38100" bIns="19050" anchor="ctr" anchorCtr="0">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Berechnung!$V$53:$W$53</c:f>
              <c:numCache>
                <c:formatCode>General</c:formatCode>
                <c:ptCount val="2"/>
                <c:pt idx="0">
                  <c:v>0</c:v>
                </c:pt>
                <c:pt idx="1">
                  <c:v>0</c:v>
                </c:pt>
              </c:numCache>
            </c:numRef>
          </c:xVal>
          <c:yVal>
            <c:numRef>
              <c:f>Berechnung!$V$54:$W$54</c:f>
              <c:numCache>
                <c:formatCode>General</c:formatCode>
                <c:ptCount val="2"/>
                <c:pt idx="0">
                  <c:v>-5</c:v>
                </c:pt>
                <c:pt idx="1">
                  <c:v>-5</c:v>
                </c:pt>
              </c:numCache>
            </c:numRef>
          </c:yVal>
          <c:smooth val="0"/>
          <c:extLst>
            <c:ext xmlns:c16="http://schemas.microsoft.com/office/drawing/2014/chart" uri="{C3380CC4-5D6E-409C-BE32-E72D297353CC}">
              <c16:uniqueId val="{00000002-AEF8-4CBF-A166-A1F9B12CA66C}"/>
            </c:ext>
          </c:extLst>
        </c:ser>
        <c:ser>
          <c:idx val="14"/>
          <c:order val="10"/>
          <c:tx>
            <c:strRef>
              <c:f>Berechnung!$X$55</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07-AEF8-4CBF-A166-A1F9B12CA66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Berechnung!$V$55:$W$55</c:f>
              <c:numCache>
                <c:formatCode>General</c:formatCode>
                <c:ptCount val="2"/>
                <c:pt idx="0">
                  <c:v>0</c:v>
                </c:pt>
                <c:pt idx="1">
                  <c:v>0</c:v>
                </c:pt>
              </c:numCache>
            </c:numRef>
          </c:xVal>
          <c:yVal>
            <c:numRef>
              <c:f>Berechnung!$V$56:$W$56</c:f>
              <c:numCache>
                <c:formatCode>General</c:formatCode>
                <c:ptCount val="2"/>
                <c:pt idx="0">
                  <c:v>-5</c:v>
                </c:pt>
                <c:pt idx="1">
                  <c:v>-5</c:v>
                </c:pt>
              </c:numCache>
            </c:numRef>
          </c:yVal>
          <c:smooth val="0"/>
          <c:extLst>
            <c:ext xmlns:c16="http://schemas.microsoft.com/office/drawing/2014/chart" uri="{C3380CC4-5D6E-409C-BE32-E72D297353CC}">
              <c16:uniqueId val="{00000003-AEF8-4CBF-A166-A1F9B12CA66C}"/>
            </c:ext>
          </c:extLst>
        </c:ser>
        <c:ser>
          <c:idx val="15"/>
          <c:order val="11"/>
          <c:tx>
            <c:strRef>
              <c:f>Berechnung!$X$57</c:f>
              <c:strCache>
                <c:ptCount val="1"/>
              </c:strCache>
            </c:strRef>
          </c:tx>
          <c:spPr>
            <a:ln w="19050" cap="rnd">
              <a:solidFill>
                <a:srgbClr val="C00000"/>
              </a:solidFill>
              <a:round/>
              <a:headEnd type="none"/>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05-AEF8-4CBF-A166-A1F9B12CA66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Berechnung!$V$57:$W$57</c:f>
              <c:numCache>
                <c:formatCode>General</c:formatCode>
                <c:ptCount val="2"/>
                <c:pt idx="0">
                  <c:v>0</c:v>
                </c:pt>
                <c:pt idx="1">
                  <c:v>0</c:v>
                </c:pt>
              </c:numCache>
            </c:numRef>
          </c:xVal>
          <c:yVal>
            <c:numRef>
              <c:f>Berechnung!$V$58:$W$58</c:f>
              <c:numCache>
                <c:formatCode>General</c:formatCode>
                <c:ptCount val="2"/>
                <c:pt idx="0">
                  <c:v>-5</c:v>
                </c:pt>
                <c:pt idx="1">
                  <c:v>-5</c:v>
                </c:pt>
              </c:numCache>
            </c:numRef>
          </c:yVal>
          <c:smooth val="0"/>
          <c:extLst>
            <c:ext xmlns:c16="http://schemas.microsoft.com/office/drawing/2014/chart" uri="{C3380CC4-5D6E-409C-BE32-E72D297353CC}">
              <c16:uniqueId val="{00000004-AEF8-4CBF-A166-A1F9B12CA66C}"/>
            </c:ext>
          </c:extLst>
        </c:ser>
        <c:ser>
          <c:idx val="7"/>
          <c:order val="12"/>
          <c:tx>
            <c:v>Bearing Slab 01 Fixed</c:v>
          </c:tx>
          <c:spPr>
            <a:ln w="19050" cap="rnd">
              <a:solidFill>
                <a:schemeClr val="accent2">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Berechnung!$Z$51</c:f>
              <c:numCache>
                <c:formatCode>General</c:formatCode>
                <c:ptCount val="1"/>
                <c:pt idx="0">
                  <c:v>6.0324999999999998</c:v>
                </c:pt>
              </c:numCache>
            </c:numRef>
          </c:xVal>
          <c:yVal>
            <c:numRef>
              <c:f>Berechnung!$Z$52</c:f>
              <c:numCache>
                <c:formatCode>General</c:formatCode>
                <c:ptCount val="1"/>
                <c:pt idx="0">
                  <c:v>3</c:v>
                </c:pt>
              </c:numCache>
            </c:numRef>
          </c:yVal>
          <c:smooth val="0"/>
          <c:extLst>
            <c:ext xmlns:c16="http://schemas.microsoft.com/office/drawing/2014/chart" uri="{C3380CC4-5D6E-409C-BE32-E72D297353CC}">
              <c16:uniqueId val="{00000012-AEF8-4CBF-A166-A1F9B12CA66C}"/>
            </c:ext>
          </c:extLst>
        </c:ser>
        <c:ser>
          <c:idx val="8"/>
          <c:order val="13"/>
          <c:tx>
            <c:v>Bearing Slab 01 Hinged</c:v>
          </c:tx>
          <c:spPr>
            <a:ln w="19050" cap="rnd">
              <a:solidFill>
                <a:schemeClr val="accent3">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Berechnung!$AA$51</c:f>
              <c:numCache>
                <c:formatCode>General</c:formatCode>
                <c:ptCount val="1"/>
                <c:pt idx="0">
                  <c:v>6.0324999999999998</c:v>
                </c:pt>
              </c:numCache>
            </c:numRef>
          </c:xVal>
          <c:yVal>
            <c:numRef>
              <c:f>Berechnung!$AA$52</c:f>
              <c:numCache>
                <c:formatCode>General</c:formatCode>
                <c:ptCount val="1"/>
                <c:pt idx="0">
                  <c:v>-5</c:v>
                </c:pt>
              </c:numCache>
            </c:numRef>
          </c:yVal>
          <c:smooth val="0"/>
          <c:extLst>
            <c:ext xmlns:c16="http://schemas.microsoft.com/office/drawing/2014/chart" uri="{C3380CC4-5D6E-409C-BE32-E72D297353CC}">
              <c16:uniqueId val="{0000000B-AEF8-4CBF-A166-A1F9B12CA66C}"/>
            </c:ext>
          </c:extLst>
        </c:ser>
        <c:ser>
          <c:idx val="9"/>
          <c:order val="14"/>
          <c:tx>
            <c:v>Bearing Slab 02 Fixed</c:v>
          </c:tx>
          <c:spPr>
            <a:ln w="19050" cap="rnd">
              <a:solidFill>
                <a:schemeClr val="accent4">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Berechnung!$Z$53</c:f>
              <c:numCache>
                <c:formatCode>General</c:formatCode>
                <c:ptCount val="1"/>
                <c:pt idx="0">
                  <c:v>6.0324999999999998</c:v>
                </c:pt>
              </c:numCache>
            </c:numRef>
          </c:xVal>
          <c:yVal>
            <c:numRef>
              <c:f>Berechnung!$Z$54</c:f>
              <c:numCache>
                <c:formatCode>General</c:formatCode>
                <c:ptCount val="1"/>
                <c:pt idx="0">
                  <c:v>6.62</c:v>
                </c:pt>
              </c:numCache>
            </c:numRef>
          </c:yVal>
          <c:smooth val="0"/>
          <c:extLst>
            <c:ext xmlns:c16="http://schemas.microsoft.com/office/drawing/2014/chart" uri="{C3380CC4-5D6E-409C-BE32-E72D297353CC}">
              <c16:uniqueId val="{0000000C-AEF8-4CBF-A166-A1F9B12CA66C}"/>
            </c:ext>
          </c:extLst>
        </c:ser>
        <c:ser>
          <c:idx val="10"/>
          <c:order val="15"/>
          <c:tx>
            <c:v>Bearing Slab 02 Hinged</c:v>
          </c:tx>
          <c:spPr>
            <a:ln w="19050" cap="rnd">
              <a:solidFill>
                <a:schemeClr val="accent5">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Berechnung!$AA$53</c:f>
              <c:numCache>
                <c:formatCode>General</c:formatCode>
                <c:ptCount val="1"/>
                <c:pt idx="0">
                  <c:v>6.0324999999999998</c:v>
                </c:pt>
              </c:numCache>
            </c:numRef>
          </c:xVal>
          <c:yVal>
            <c:numRef>
              <c:f>Berechnung!$AA$54</c:f>
              <c:numCache>
                <c:formatCode>General</c:formatCode>
                <c:ptCount val="1"/>
                <c:pt idx="0">
                  <c:v>-5</c:v>
                </c:pt>
              </c:numCache>
            </c:numRef>
          </c:yVal>
          <c:smooth val="0"/>
          <c:extLst>
            <c:ext xmlns:c16="http://schemas.microsoft.com/office/drawing/2014/chart" uri="{C3380CC4-5D6E-409C-BE32-E72D297353CC}">
              <c16:uniqueId val="{0000000D-AEF8-4CBF-A166-A1F9B12CA66C}"/>
            </c:ext>
          </c:extLst>
        </c:ser>
        <c:ser>
          <c:idx val="16"/>
          <c:order val="16"/>
          <c:tx>
            <c:v>Bearing Slab 03 Fixed</c:v>
          </c:tx>
          <c:spPr>
            <a:ln w="19050" cap="rnd">
              <a:solidFill>
                <a:schemeClr val="accent5">
                  <a:lumMod val="80000"/>
                  <a:lumOff val="2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Berechnung!$Z$55</c:f>
              <c:numCache>
                <c:formatCode>General</c:formatCode>
                <c:ptCount val="1"/>
                <c:pt idx="0">
                  <c:v>0</c:v>
                </c:pt>
              </c:numCache>
            </c:numRef>
          </c:xVal>
          <c:yVal>
            <c:numRef>
              <c:f>Berechnung!$Z$56</c:f>
              <c:numCache>
                <c:formatCode>General</c:formatCode>
                <c:ptCount val="1"/>
                <c:pt idx="0">
                  <c:v>-5</c:v>
                </c:pt>
              </c:numCache>
            </c:numRef>
          </c:yVal>
          <c:smooth val="0"/>
          <c:extLst>
            <c:ext xmlns:c16="http://schemas.microsoft.com/office/drawing/2014/chart" uri="{C3380CC4-5D6E-409C-BE32-E72D297353CC}">
              <c16:uniqueId val="{0000000E-AEF8-4CBF-A166-A1F9B12CA66C}"/>
            </c:ext>
          </c:extLst>
        </c:ser>
        <c:ser>
          <c:idx val="17"/>
          <c:order val="17"/>
          <c:tx>
            <c:v>Bearing Slab 03 Hinged</c:v>
          </c:tx>
          <c:spPr>
            <a:ln w="19050" cap="rnd">
              <a:solidFill>
                <a:schemeClr val="accent6">
                  <a:lumMod val="80000"/>
                  <a:lumOff val="2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Berechnung!$AA$55</c:f>
              <c:numCache>
                <c:formatCode>General</c:formatCode>
                <c:ptCount val="1"/>
                <c:pt idx="0">
                  <c:v>0</c:v>
                </c:pt>
              </c:numCache>
            </c:numRef>
          </c:xVal>
          <c:yVal>
            <c:numRef>
              <c:f>Berechnung!$AA$56</c:f>
              <c:numCache>
                <c:formatCode>General</c:formatCode>
                <c:ptCount val="1"/>
                <c:pt idx="0">
                  <c:v>-5</c:v>
                </c:pt>
              </c:numCache>
            </c:numRef>
          </c:yVal>
          <c:smooth val="0"/>
          <c:extLst>
            <c:ext xmlns:c16="http://schemas.microsoft.com/office/drawing/2014/chart" uri="{C3380CC4-5D6E-409C-BE32-E72D297353CC}">
              <c16:uniqueId val="{0000000F-AEF8-4CBF-A166-A1F9B12CA66C}"/>
            </c:ext>
          </c:extLst>
        </c:ser>
        <c:ser>
          <c:idx val="18"/>
          <c:order val="18"/>
          <c:tx>
            <c:v>Bearing Slab 04 Fixed</c:v>
          </c:tx>
          <c:spPr>
            <a:ln w="19050" cap="rnd">
              <a:solidFill>
                <a:schemeClr val="accent1">
                  <a:lumMod val="8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Berechnung!$Z$57</c:f>
              <c:numCache>
                <c:formatCode>General</c:formatCode>
                <c:ptCount val="1"/>
                <c:pt idx="0">
                  <c:v>0</c:v>
                </c:pt>
              </c:numCache>
            </c:numRef>
          </c:xVal>
          <c:yVal>
            <c:numRef>
              <c:f>Berechnung!$Z$58</c:f>
              <c:numCache>
                <c:formatCode>General</c:formatCode>
                <c:ptCount val="1"/>
                <c:pt idx="0">
                  <c:v>-5</c:v>
                </c:pt>
              </c:numCache>
            </c:numRef>
          </c:yVal>
          <c:smooth val="0"/>
          <c:extLst>
            <c:ext xmlns:c16="http://schemas.microsoft.com/office/drawing/2014/chart" uri="{C3380CC4-5D6E-409C-BE32-E72D297353CC}">
              <c16:uniqueId val="{00000010-AEF8-4CBF-A166-A1F9B12CA66C}"/>
            </c:ext>
          </c:extLst>
        </c:ser>
        <c:ser>
          <c:idx val="19"/>
          <c:order val="19"/>
          <c:tx>
            <c:v>Bearing Slab 04 Hinged</c:v>
          </c:tx>
          <c:spPr>
            <a:ln w="19050" cap="rnd">
              <a:solidFill>
                <a:schemeClr val="accent2">
                  <a:lumMod val="8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Berechnung!$AA$57</c:f>
              <c:numCache>
                <c:formatCode>General</c:formatCode>
                <c:ptCount val="1"/>
                <c:pt idx="0">
                  <c:v>0</c:v>
                </c:pt>
              </c:numCache>
            </c:numRef>
          </c:xVal>
          <c:yVal>
            <c:numRef>
              <c:f>Berechnung!$AA$58</c:f>
              <c:numCache>
                <c:formatCode>General</c:formatCode>
                <c:ptCount val="1"/>
                <c:pt idx="0">
                  <c:v>-5</c:v>
                </c:pt>
              </c:numCache>
            </c:numRef>
          </c:yVal>
          <c:smooth val="0"/>
          <c:extLst>
            <c:ext xmlns:c16="http://schemas.microsoft.com/office/drawing/2014/chart" uri="{C3380CC4-5D6E-409C-BE32-E72D297353CC}">
              <c16:uniqueId val="{00000011-AEF8-4CBF-A166-A1F9B12CA66C}"/>
            </c:ext>
          </c:extLst>
        </c:ser>
        <c:dLbls>
          <c:showLegendKey val="0"/>
          <c:showVal val="1"/>
          <c:showCatName val="0"/>
          <c:showSerName val="0"/>
          <c:showPercent val="0"/>
          <c:showBubbleSize val="0"/>
        </c:dLbls>
        <c:axId val="467690536"/>
        <c:axId val="467692104"/>
      </c:scatterChart>
      <c:valAx>
        <c:axId val="467690536"/>
        <c:scaling>
          <c:orientation val="minMax"/>
        </c:scaling>
        <c:delete val="0"/>
        <c:axPos val="b"/>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92104"/>
        <c:crosses val="autoZero"/>
        <c:crossBetween val="midCat"/>
        <c:majorUnit val="2"/>
      </c:valAx>
      <c:valAx>
        <c:axId val="467692104"/>
        <c:scaling>
          <c:orientation val="minMax"/>
          <c:min val="0"/>
        </c:scaling>
        <c:delete val="0"/>
        <c:axPos val="l"/>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90536"/>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76960125828646"/>
          <c:y val="3.2590766423307667E-2"/>
          <c:w val="0.64086199280008271"/>
          <c:h val="0.78598050753298632"/>
        </c:manualLayout>
      </c:layout>
      <c:scatterChart>
        <c:scatterStyle val="smoothMarker"/>
        <c:varyColors val="0"/>
        <c:ser>
          <c:idx val="0"/>
          <c:order val="0"/>
          <c:tx>
            <c:v>NRd Kopf</c:v>
          </c:tx>
          <c:spPr>
            <a:ln w="25400" cap="rnd">
              <a:solidFill>
                <a:schemeClr val="accent1"/>
              </a:solidFill>
              <a:prstDash val="dash"/>
              <a:round/>
            </a:ln>
            <a:effectLst/>
          </c:spPr>
          <c:marker>
            <c:symbol val="none"/>
          </c:marker>
          <c:xVal>
            <c:numRef>
              <c:f>'Beispiel 1'!$W$100:$W$202</c:f>
              <c:numCache>
                <c:formatCode>General</c:formatCode>
                <c:ptCount val="103"/>
                <c:pt idx="0">
                  <c:v>0</c:v>
                </c:pt>
                <c:pt idx="1">
                  <c:v>0</c:v>
                </c:pt>
                <c:pt idx="2">
                  <c:v>0.78876811650000012</c:v>
                </c:pt>
                <c:pt idx="3">
                  <c:v>1.5632094660000004</c:v>
                </c:pt>
                <c:pt idx="4">
                  <c:v>2.3233240485000004</c:v>
                </c:pt>
                <c:pt idx="5">
                  <c:v>3.0691118640000008</c:v>
                </c:pt>
                <c:pt idx="6">
                  <c:v>3.8005729125000007</c:v>
                </c:pt>
                <c:pt idx="7">
                  <c:v>4.5177071940000006</c:v>
                </c:pt>
                <c:pt idx="8">
                  <c:v>5.2205147085000014</c:v>
                </c:pt>
                <c:pt idx="9">
                  <c:v>5.9089954560000013</c:v>
                </c:pt>
                <c:pt idx="10">
                  <c:v>6.5831494365000012</c:v>
                </c:pt>
                <c:pt idx="11">
                  <c:v>7.242976650000001</c:v>
                </c:pt>
                <c:pt idx="12">
                  <c:v>7.8884770965000017</c:v>
                </c:pt>
                <c:pt idx="13">
                  <c:v>8.5196507760000006</c:v>
                </c:pt>
                <c:pt idx="14">
                  <c:v>9.1364976885000022</c:v>
                </c:pt>
                <c:pt idx="15">
                  <c:v>9.739017834000002</c:v>
                </c:pt>
                <c:pt idx="16">
                  <c:v>10.3272112125</c:v>
                </c:pt>
                <c:pt idx="17">
                  <c:v>10.901077824000001</c:v>
                </c:pt>
                <c:pt idx="18">
                  <c:v>11.460617668500001</c:v>
                </c:pt>
                <c:pt idx="19">
                  <c:v>12.005830746000003</c:v>
                </c:pt>
                <c:pt idx="20">
                  <c:v>12.536717056500001</c:v>
                </c:pt>
                <c:pt idx="21">
                  <c:v>13.053276600000002</c:v>
                </c:pt>
                <c:pt idx="22">
                  <c:v>13.555509376500002</c:v>
                </c:pt>
                <c:pt idx="23">
                  <c:v>14.043415386000003</c:v>
                </c:pt>
                <c:pt idx="24">
                  <c:v>14.516994628500003</c:v>
                </c:pt>
                <c:pt idx="25">
                  <c:v>14.976247104</c:v>
                </c:pt>
                <c:pt idx="26">
                  <c:v>15.421172812500002</c:v>
                </c:pt>
                <c:pt idx="27">
                  <c:v>15.851771754000001</c:v>
                </c:pt>
                <c:pt idx="28">
                  <c:v>16.268043928500006</c:v>
                </c:pt>
                <c:pt idx="29">
                  <c:v>16.669989336000004</c:v>
                </c:pt>
                <c:pt idx="30">
                  <c:v>17.057607976500002</c:v>
                </c:pt>
                <c:pt idx="31">
                  <c:v>17.430899849999999</c:v>
                </c:pt>
                <c:pt idx="32">
                  <c:v>17.789864956500001</c:v>
                </c:pt>
                <c:pt idx="33">
                  <c:v>18.134503296000002</c:v>
                </c:pt>
                <c:pt idx="34">
                  <c:v>18.4648148685</c:v>
                </c:pt>
                <c:pt idx="35">
                  <c:v>18.780799674000001</c:v>
                </c:pt>
                <c:pt idx="36">
                  <c:v>19.082457712500002</c:v>
                </c:pt>
                <c:pt idx="37">
                  <c:v>19.369788984000003</c:v>
                </c:pt>
                <c:pt idx="38">
                  <c:v>19.642793488500001</c:v>
                </c:pt>
                <c:pt idx="39">
                  <c:v>19.901471225999998</c:v>
                </c:pt>
                <c:pt idx="40">
                  <c:v>20.145822196499999</c:v>
                </c:pt>
                <c:pt idx="41">
                  <c:v>20.3758464</c:v>
                </c:pt>
                <c:pt idx="42">
                  <c:v>20.591543836500001</c:v>
                </c:pt>
                <c:pt idx="43">
                  <c:v>20.792914506000002</c:v>
                </c:pt>
                <c:pt idx="44">
                  <c:v>20.9799584085</c:v>
                </c:pt>
                <c:pt idx="45">
                  <c:v>21.152675544000001</c:v>
                </c:pt>
                <c:pt idx="46">
                  <c:v>21.311065912500002</c:v>
                </c:pt>
                <c:pt idx="47">
                  <c:v>21.455129513999999</c:v>
                </c:pt>
                <c:pt idx="48">
                  <c:v>21.584866348499997</c:v>
                </c:pt>
                <c:pt idx="49">
                  <c:v>21.700276416000001</c:v>
                </c:pt>
                <c:pt idx="50">
                  <c:v>21.801359716500002</c:v>
                </c:pt>
                <c:pt idx="51">
                  <c:v>21.888116249999999</c:v>
                </c:pt>
                <c:pt idx="52">
                  <c:v>21.9605460165</c:v>
                </c:pt>
                <c:pt idx="53">
                  <c:v>22.018649015999998</c:v>
                </c:pt>
                <c:pt idx="54">
                  <c:v>22.062425248499995</c:v>
                </c:pt>
                <c:pt idx="55">
                  <c:v>22.091874714000006</c:v>
                </c:pt>
                <c:pt idx="56">
                  <c:v>22.106997412499997</c:v>
                </c:pt>
                <c:pt idx="57">
                  <c:v>22.107793344000001</c:v>
                </c:pt>
                <c:pt idx="58">
                  <c:v>22.094262508499998</c:v>
                </c:pt>
                <c:pt idx="59">
                  <c:v>22.066404906000002</c:v>
                </c:pt>
                <c:pt idx="60">
                  <c:v>22.0242205365</c:v>
                </c:pt>
                <c:pt idx="61">
                  <c:v>21.967709399999997</c:v>
                </c:pt>
                <c:pt idx="62">
                  <c:v>21.896871496499994</c:v>
                </c:pt>
                <c:pt idx="63">
                  <c:v>21.811706825999998</c:v>
                </c:pt>
                <c:pt idx="64">
                  <c:v>21.712215388500002</c:v>
                </c:pt>
                <c:pt idx="65">
                  <c:v>21.598397184</c:v>
                </c:pt>
                <c:pt idx="66">
                  <c:v>21.4702522125</c:v>
                </c:pt>
                <c:pt idx="67">
                  <c:v>21.327780473999994</c:v>
                </c:pt>
                <c:pt idx="68">
                  <c:v>21.170981968499991</c:v>
                </c:pt>
                <c:pt idx="69">
                  <c:v>20.999856695999995</c:v>
                </c:pt>
                <c:pt idx="70">
                  <c:v>20.814404656499995</c:v>
                </c:pt>
                <c:pt idx="71">
                  <c:v>20.614625849999996</c:v>
                </c:pt>
                <c:pt idx="72">
                  <c:v>20.400520276499996</c:v>
                </c:pt>
                <c:pt idx="73">
                  <c:v>20.172087936</c:v>
                </c:pt>
                <c:pt idx="74">
                  <c:v>19.929328828499997</c:v>
                </c:pt>
                <c:pt idx="75">
                  <c:v>19.672242953999994</c:v>
                </c:pt>
                <c:pt idx="76">
                  <c:v>19.400830312499995</c:v>
                </c:pt>
                <c:pt idx="77">
                  <c:v>19.115090903999995</c:v>
                </c:pt>
                <c:pt idx="78">
                  <c:v>18.815024728499999</c:v>
                </c:pt>
                <c:pt idx="79">
                  <c:v>18.500631785999992</c:v>
                </c:pt>
                <c:pt idx="80">
                  <c:v>18.171912076499986</c:v>
                </c:pt>
                <c:pt idx="81">
                  <c:v>17.82886559999999</c:v>
                </c:pt>
                <c:pt idx="82">
                  <c:v>17.47149235649999</c:v>
                </c:pt>
                <c:pt idx="83">
                  <c:v>17.099792345999994</c:v>
                </c:pt>
                <c:pt idx="84">
                  <c:v>16.713765568499998</c:v>
                </c:pt>
                <c:pt idx="85">
                  <c:v>16.313412023999998</c:v>
                </c:pt>
                <c:pt idx="86">
                  <c:v>15.898731712499984</c:v>
                </c:pt>
                <c:pt idx="87">
                  <c:v>15.469724633999995</c:v>
                </c:pt>
                <c:pt idx="88">
                  <c:v>15.02639078849999</c:v>
                </c:pt>
                <c:pt idx="89">
                  <c:v>14.568730175999988</c:v>
                </c:pt>
                <c:pt idx="90">
                  <c:v>14.096742796499992</c:v>
                </c:pt>
                <c:pt idx="91">
                  <c:v>13.610428649999996</c:v>
                </c:pt>
                <c:pt idx="92">
                  <c:v>13.109787736499994</c:v>
                </c:pt>
                <c:pt idx="93">
                  <c:v>12.594820055999982</c:v>
                </c:pt>
                <c:pt idx="94">
                  <c:v>12.065525608499993</c:v>
                </c:pt>
                <c:pt idx="95">
                  <c:v>11.521904393999989</c:v>
                </c:pt>
                <c:pt idx="96">
                  <c:v>10.963956412500002</c:v>
                </c:pt>
                <c:pt idx="97">
                  <c:v>10.391681663999989</c:v>
                </c:pt>
                <c:pt idx="98">
                  <c:v>9.8050801484999948</c:v>
                </c:pt>
                <c:pt idx="99">
                  <c:v>9.2041518659999895</c:v>
                </c:pt>
                <c:pt idx="100">
                  <c:v>8.588896816499977</c:v>
                </c:pt>
                <c:pt idx="101">
                  <c:v>7.9593149999999904</c:v>
                </c:pt>
                <c:pt idx="102">
                  <c:v>0</c:v>
                </c:pt>
              </c:numCache>
            </c:numRef>
          </c:xVal>
          <c:yVal>
            <c:numRef>
              <c:f>'Beispiel 1'!$U$100:$U$202</c:f>
              <c:numCache>
                <c:formatCode>General</c:formatCode>
                <c:ptCount val="103"/>
                <c:pt idx="0">
                  <c:v>0</c:v>
                </c:pt>
                <c:pt idx="1">
                  <c:v>0</c:v>
                </c:pt>
                <c:pt idx="2">
                  <c:v>6.4974000000000016</c:v>
                </c:pt>
                <c:pt idx="3">
                  <c:v>12.994800000000003</c:v>
                </c:pt>
                <c:pt idx="4">
                  <c:v>19.492200000000004</c:v>
                </c:pt>
                <c:pt idx="5">
                  <c:v>25.989600000000006</c:v>
                </c:pt>
                <c:pt idx="6">
                  <c:v>32.487000000000009</c:v>
                </c:pt>
                <c:pt idx="7">
                  <c:v>38.984400000000008</c:v>
                </c:pt>
                <c:pt idx="8">
                  <c:v>45.481800000000014</c:v>
                </c:pt>
                <c:pt idx="9">
                  <c:v>51.979200000000013</c:v>
                </c:pt>
                <c:pt idx="10">
                  <c:v>58.476600000000012</c:v>
                </c:pt>
                <c:pt idx="11">
                  <c:v>64.974000000000018</c:v>
                </c:pt>
                <c:pt idx="12">
                  <c:v>71.471400000000017</c:v>
                </c:pt>
                <c:pt idx="13">
                  <c:v>77.968800000000016</c:v>
                </c:pt>
                <c:pt idx="14">
                  <c:v>84.466200000000015</c:v>
                </c:pt>
                <c:pt idx="15">
                  <c:v>90.963600000000028</c:v>
                </c:pt>
                <c:pt idx="16">
                  <c:v>97.461000000000013</c:v>
                </c:pt>
                <c:pt idx="17">
                  <c:v>103.95840000000003</c:v>
                </c:pt>
                <c:pt idx="18">
                  <c:v>110.45580000000002</c:v>
                </c:pt>
                <c:pt idx="19">
                  <c:v>116.95320000000002</c:v>
                </c:pt>
                <c:pt idx="20">
                  <c:v>123.45060000000002</c:v>
                </c:pt>
                <c:pt idx="21">
                  <c:v>129.94800000000004</c:v>
                </c:pt>
                <c:pt idx="22">
                  <c:v>136.44540000000003</c:v>
                </c:pt>
                <c:pt idx="23">
                  <c:v>142.94280000000003</c:v>
                </c:pt>
                <c:pt idx="24">
                  <c:v>149.44020000000003</c:v>
                </c:pt>
                <c:pt idx="25">
                  <c:v>155.93760000000003</c:v>
                </c:pt>
                <c:pt idx="26">
                  <c:v>162.43500000000003</c:v>
                </c:pt>
                <c:pt idx="27">
                  <c:v>168.93240000000003</c:v>
                </c:pt>
                <c:pt idx="28">
                  <c:v>175.42980000000006</c:v>
                </c:pt>
                <c:pt idx="29">
                  <c:v>181.92720000000006</c:v>
                </c:pt>
                <c:pt idx="30">
                  <c:v>188.42460000000003</c:v>
                </c:pt>
                <c:pt idx="31">
                  <c:v>194.92200000000003</c:v>
                </c:pt>
                <c:pt idx="32">
                  <c:v>201.41940000000002</c:v>
                </c:pt>
                <c:pt idx="33">
                  <c:v>207.91680000000005</c:v>
                </c:pt>
                <c:pt idx="34">
                  <c:v>214.41420000000005</c:v>
                </c:pt>
                <c:pt idx="35">
                  <c:v>220.91160000000005</c:v>
                </c:pt>
                <c:pt idx="36">
                  <c:v>227.40900000000002</c:v>
                </c:pt>
                <c:pt idx="37">
                  <c:v>233.90640000000005</c:v>
                </c:pt>
                <c:pt idx="38">
                  <c:v>240.40380000000005</c:v>
                </c:pt>
                <c:pt idx="39">
                  <c:v>246.90120000000005</c:v>
                </c:pt>
                <c:pt idx="40">
                  <c:v>253.39860000000004</c:v>
                </c:pt>
                <c:pt idx="41">
                  <c:v>259.89600000000007</c:v>
                </c:pt>
                <c:pt idx="42">
                  <c:v>266.39340000000004</c:v>
                </c:pt>
                <c:pt idx="43">
                  <c:v>272.89080000000007</c:v>
                </c:pt>
                <c:pt idx="44">
                  <c:v>279.38820000000004</c:v>
                </c:pt>
                <c:pt idx="45">
                  <c:v>285.88560000000007</c:v>
                </c:pt>
                <c:pt idx="46">
                  <c:v>292.38300000000004</c:v>
                </c:pt>
                <c:pt idx="47">
                  <c:v>298.88040000000007</c:v>
                </c:pt>
                <c:pt idx="48">
                  <c:v>305.37780000000004</c:v>
                </c:pt>
                <c:pt idx="49">
                  <c:v>311.87520000000006</c:v>
                </c:pt>
                <c:pt idx="50">
                  <c:v>318.37260000000003</c:v>
                </c:pt>
                <c:pt idx="51">
                  <c:v>324.87000000000006</c:v>
                </c:pt>
                <c:pt idx="52">
                  <c:v>331.36740000000009</c:v>
                </c:pt>
                <c:pt idx="53">
                  <c:v>337.86480000000006</c:v>
                </c:pt>
                <c:pt idx="54">
                  <c:v>344.36220000000009</c:v>
                </c:pt>
                <c:pt idx="55">
                  <c:v>350.85960000000011</c:v>
                </c:pt>
                <c:pt idx="56">
                  <c:v>357.35700000000008</c:v>
                </c:pt>
                <c:pt idx="57">
                  <c:v>363.85440000000011</c:v>
                </c:pt>
                <c:pt idx="58">
                  <c:v>370.35180000000003</c:v>
                </c:pt>
                <c:pt idx="59">
                  <c:v>376.84920000000005</c:v>
                </c:pt>
                <c:pt idx="60">
                  <c:v>383.34660000000008</c:v>
                </c:pt>
                <c:pt idx="61">
                  <c:v>389.84400000000005</c:v>
                </c:pt>
                <c:pt idx="62">
                  <c:v>396.34140000000008</c:v>
                </c:pt>
                <c:pt idx="63">
                  <c:v>402.83880000000005</c:v>
                </c:pt>
                <c:pt idx="64">
                  <c:v>409.33620000000008</c:v>
                </c:pt>
                <c:pt idx="65">
                  <c:v>415.8336000000001</c:v>
                </c:pt>
                <c:pt idx="66">
                  <c:v>422.33100000000007</c:v>
                </c:pt>
                <c:pt idx="67">
                  <c:v>428.8284000000001</c:v>
                </c:pt>
                <c:pt idx="68">
                  <c:v>435.32580000000013</c:v>
                </c:pt>
                <c:pt idx="69">
                  <c:v>441.8232000000001</c:v>
                </c:pt>
                <c:pt idx="70">
                  <c:v>448.32060000000007</c:v>
                </c:pt>
                <c:pt idx="71">
                  <c:v>454.81800000000004</c:v>
                </c:pt>
                <c:pt idx="72">
                  <c:v>461.31540000000007</c:v>
                </c:pt>
                <c:pt idx="73">
                  <c:v>467.8128000000001</c:v>
                </c:pt>
                <c:pt idx="74">
                  <c:v>474.31020000000007</c:v>
                </c:pt>
                <c:pt idx="75">
                  <c:v>480.80760000000009</c:v>
                </c:pt>
                <c:pt idx="76">
                  <c:v>487.30500000000006</c:v>
                </c:pt>
                <c:pt idx="77">
                  <c:v>493.80240000000009</c:v>
                </c:pt>
                <c:pt idx="78">
                  <c:v>500.29980000000012</c:v>
                </c:pt>
                <c:pt idx="79">
                  <c:v>506.79720000000009</c:v>
                </c:pt>
                <c:pt idx="80">
                  <c:v>513.29460000000017</c:v>
                </c:pt>
                <c:pt idx="81">
                  <c:v>519.79200000000014</c:v>
                </c:pt>
                <c:pt idx="82">
                  <c:v>526.28940000000011</c:v>
                </c:pt>
                <c:pt idx="83">
                  <c:v>532.78680000000008</c:v>
                </c:pt>
                <c:pt idx="84">
                  <c:v>539.28420000000006</c:v>
                </c:pt>
                <c:pt idx="85">
                  <c:v>545.78160000000014</c:v>
                </c:pt>
                <c:pt idx="86">
                  <c:v>552.27900000000011</c:v>
                </c:pt>
                <c:pt idx="87">
                  <c:v>558.77640000000008</c:v>
                </c:pt>
                <c:pt idx="88">
                  <c:v>565.27380000000005</c:v>
                </c:pt>
                <c:pt idx="89">
                  <c:v>571.77120000000014</c:v>
                </c:pt>
                <c:pt idx="90">
                  <c:v>578.26860000000011</c:v>
                </c:pt>
                <c:pt idx="91">
                  <c:v>584.76600000000008</c:v>
                </c:pt>
                <c:pt idx="92">
                  <c:v>591.26340000000016</c:v>
                </c:pt>
                <c:pt idx="93">
                  <c:v>597.76080000000013</c:v>
                </c:pt>
                <c:pt idx="94">
                  <c:v>604.2582000000001</c:v>
                </c:pt>
                <c:pt idx="95">
                  <c:v>610.75560000000007</c:v>
                </c:pt>
                <c:pt idx="96">
                  <c:v>617.25300000000004</c:v>
                </c:pt>
                <c:pt idx="97">
                  <c:v>623.75040000000013</c:v>
                </c:pt>
                <c:pt idx="98">
                  <c:v>630.2478000000001</c:v>
                </c:pt>
                <c:pt idx="99">
                  <c:v>636.74520000000007</c:v>
                </c:pt>
                <c:pt idx="100">
                  <c:v>643.24260000000015</c:v>
                </c:pt>
                <c:pt idx="101">
                  <c:v>649.74000000000012</c:v>
                </c:pt>
                <c:pt idx="102">
                  <c:v>649.74000000000012</c:v>
                </c:pt>
              </c:numCache>
            </c:numRef>
          </c:yVal>
          <c:smooth val="1"/>
          <c:extLst>
            <c:ext xmlns:c16="http://schemas.microsoft.com/office/drawing/2014/chart" uri="{C3380CC4-5D6E-409C-BE32-E72D297353CC}">
              <c16:uniqueId val="{00000000-AE06-481B-B255-2624ABAE12F4}"/>
            </c:ext>
          </c:extLst>
        </c:ser>
        <c:ser>
          <c:idx val="2"/>
          <c:order val="1"/>
          <c:tx>
            <c:v>NRd Mitte</c:v>
          </c:tx>
          <c:spPr>
            <a:ln w="25400" cap="rnd">
              <a:solidFill>
                <a:schemeClr val="accent3">
                  <a:lumMod val="75000"/>
                </a:schemeClr>
              </a:solidFill>
              <a:prstDash val="lgDash"/>
              <a:round/>
            </a:ln>
            <a:effectLst/>
          </c:spPr>
          <c:marker>
            <c:symbol val="none"/>
          </c:marker>
          <c:xVal>
            <c:numRef>
              <c:f>'Beispiel 1'!$AH$100:$AH$202</c:f>
              <c:numCache>
                <c:formatCode>General</c:formatCode>
                <c:ptCount val="103"/>
                <c:pt idx="0">
                  <c:v>0</c:v>
                </c:pt>
                <c:pt idx="1">
                  <c:v>23.329091500000001</c:v>
                </c:pt>
                <c:pt idx="2">
                  <c:v>23.329091500000001</c:v>
                </c:pt>
                <c:pt idx="3">
                  <c:v>23.329091500000001</c:v>
                </c:pt>
                <c:pt idx="4">
                  <c:v>23.329091500000001</c:v>
                </c:pt>
                <c:pt idx="5">
                  <c:v>23.329091500000001</c:v>
                </c:pt>
                <c:pt idx="6">
                  <c:v>23.329091500000001</c:v>
                </c:pt>
                <c:pt idx="7">
                  <c:v>23.329091500000001</c:v>
                </c:pt>
                <c:pt idx="8">
                  <c:v>23.329091500000001</c:v>
                </c:pt>
                <c:pt idx="9">
                  <c:v>23.329091500000001</c:v>
                </c:pt>
                <c:pt idx="10">
                  <c:v>23.329091500000001</c:v>
                </c:pt>
                <c:pt idx="11">
                  <c:v>23.329091500000001</c:v>
                </c:pt>
                <c:pt idx="12">
                  <c:v>25.328285125000001</c:v>
                </c:pt>
                <c:pt idx="13">
                  <c:v>27.266803199999998</c:v>
                </c:pt>
                <c:pt idx="14">
                  <c:v>29.144645724999997</c:v>
                </c:pt>
                <c:pt idx="15">
                  <c:v>30.961812699999999</c:v>
                </c:pt>
                <c:pt idx="16">
                  <c:v>32.718304124999996</c:v>
                </c:pt>
                <c:pt idx="17">
                  <c:v>34.414119999999997</c:v>
                </c:pt>
                <c:pt idx="18">
                  <c:v>36.049260324999999</c:v>
                </c:pt>
                <c:pt idx="19">
                  <c:v>37.623725100000001</c:v>
                </c:pt>
                <c:pt idx="20">
                  <c:v>39.137514325000005</c:v>
                </c:pt>
                <c:pt idx="21">
                  <c:v>40.590628000000002</c:v>
                </c:pt>
                <c:pt idx="22">
                  <c:v>41.983066125000001</c:v>
                </c:pt>
                <c:pt idx="23">
                  <c:v>43.314828699999993</c:v>
                </c:pt>
                <c:pt idx="24">
                  <c:v>44.585915724999992</c:v>
                </c:pt>
                <c:pt idx="25">
                  <c:v>45.796327199999993</c:v>
                </c:pt>
                <c:pt idx="26">
                  <c:v>46.946063124999995</c:v>
                </c:pt>
                <c:pt idx="27">
                  <c:v>48.03512349999999</c:v>
                </c:pt>
                <c:pt idx="28">
                  <c:v>49.063508324999994</c:v>
                </c:pt>
                <c:pt idx="29">
                  <c:v>50.031217599999984</c:v>
                </c:pt>
                <c:pt idx="30">
                  <c:v>50.938251324999982</c:v>
                </c:pt>
                <c:pt idx="31">
                  <c:v>51.784609499999995</c:v>
                </c:pt>
                <c:pt idx="32">
                  <c:v>52.570292124999995</c:v>
                </c:pt>
                <c:pt idx="33">
                  <c:v>53.295299199999988</c:v>
                </c:pt>
                <c:pt idx="34">
                  <c:v>53.95963072499999</c:v>
                </c:pt>
                <c:pt idx="35">
                  <c:v>54.563286699999978</c:v>
                </c:pt>
                <c:pt idx="36">
                  <c:v>55.106267124999995</c:v>
                </c:pt>
                <c:pt idx="37">
                  <c:v>55.588571999999992</c:v>
                </c:pt>
                <c:pt idx="38">
                  <c:v>56.01020132499999</c:v>
                </c:pt>
                <c:pt idx="39">
                  <c:v>56.371155099999989</c:v>
                </c:pt>
                <c:pt idx="40">
                  <c:v>56.671433324999988</c:v>
                </c:pt>
                <c:pt idx="41">
                  <c:v>56.911035999999989</c:v>
                </c:pt>
                <c:pt idx="42">
                  <c:v>57.089963125000004</c:v>
                </c:pt>
                <c:pt idx="43">
                  <c:v>57.208214700000006</c:v>
                </c:pt>
                <c:pt idx="44">
                  <c:v>57.265790725000002</c:v>
                </c:pt>
                <c:pt idx="45">
                  <c:v>57.262691199999992</c:v>
                </c:pt>
                <c:pt idx="46">
                  <c:v>57.198916124999997</c:v>
                </c:pt>
                <c:pt idx="47">
                  <c:v>57.074465499999995</c:v>
                </c:pt>
                <c:pt idx="48">
                  <c:v>56.889339324999973</c:v>
                </c:pt>
                <c:pt idx="49">
                  <c:v>56.643537599999995</c:v>
                </c:pt>
                <c:pt idx="50">
                  <c:v>56.337060324999982</c:v>
                </c:pt>
                <c:pt idx="51">
                  <c:v>55.969907499999991</c:v>
                </c:pt>
                <c:pt idx="52">
                  <c:v>55.542079125000001</c:v>
                </c:pt>
                <c:pt idx="53">
                  <c:v>55.05357519999999</c:v>
                </c:pt>
                <c:pt idx="54">
                  <c:v>54.504395724999988</c:v>
                </c:pt>
                <c:pt idx="55">
                  <c:v>53.894540699999972</c:v>
                </c:pt>
                <c:pt idx="56">
                  <c:v>53.224010124999985</c:v>
                </c:pt>
                <c:pt idx="57">
                  <c:v>52.492803999999985</c:v>
                </c:pt>
                <c:pt idx="58">
                  <c:v>51.700922324999993</c:v>
                </c:pt>
                <c:pt idx="59">
                  <c:v>50.848365099999981</c:v>
                </c:pt>
                <c:pt idx="60">
                  <c:v>49.935132324999991</c:v>
                </c:pt>
                <c:pt idx="61">
                  <c:v>48.961223999999987</c:v>
                </c:pt>
                <c:pt idx="62">
                  <c:v>47.926640124999992</c:v>
                </c:pt>
                <c:pt idx="63">
                  <c:v>46.831380699999997</c:v>
                </c:pt>
                <c:pt idx="64">
                  <c:v>45.675445724999989</c:v>
                </c:pt>
                <c:pt idx="65">
                  <c:v>44.458835199999989</c:v>
                </c:pt>
                <c:pt idx="66">
                  <c:v>43.181549124999989</c:v>
                </c:pt>
                <c:pt idx="67">
                  <c:v>41.843587499999998</c:v>
                </c:pt>
                <c:pt idx="68">
                  <c:v>40.444950324999986</c:v>
                </c:pt>
                <c:pt idx="69">
                  <c:v>38.985637599999983</c:v>
                </c:pt>
                <c:pt idx="70">
                  <c:v>37.465649324999994</c:v>
                </c:pt>
                <c:pt idx="71">
                  <c:v>35.884985499999999</c:v>
                </c:pt>
                <c:pt idx="72">
                  <c:v>34.243646124999998</c:v>
                </c:pt>
                <c:pt idx="73">
                  <c:v>32.541631199999991</c:v>
                </c:pt>
                <c:pt idx="74">
                  <c:v>30.778940724999998</c:v>
                </c:pt>
                <c:pt idx="75">
                  <c:v>28.955574699999996</c:v>
                </c:pt>
                <c:pt idx="76">
                  <c:v>27.071533124999984</c:v>
                </c:pt>
                <c:pt idx="77">
                  <c:v>25.126815999999987</c:v>
                </c:pt>
                <c:pt idx="78">
                  <c:v>23.121423324999981</c:v>
                </c:pt>
                <c:pt idx="79">
                  <c:v>21.055355099999993</c:v>
                </c:pt>
                <c:pt idx="80">
                  <c:v>18.928611324999988</c:v>
                </c:pt>
                <c:pt idx="81">
                  <c:v>16.74119199999998</c:v>
                </c:pt>
                <c:pt idx="82">
                  <c:v>14.493097124999982</c:v>
                </c:pt>
                <c:pt idx="83">
                  <c:v>12.184326700000005</c:v>
                </c:pt>
                <c:pt idx="84">
                  <c:v>9.8148807250000019</c:v>
                </c:pt>
                <c:pt idx="85">
                  <c:v>7.3847591999999977</c:v>
                </c:pt>
                <c:pt idx="86">
                  <c:v>4.8939621249999998</c:v>
                </c:pt>
                <c:pt idx="87">
                  <c:v>2.3424894999999943</c:v>
                </c:pt>
                <c:pt idx="88">
                  <c:v>-0.26965867500000351</c:v>
                </c:pt>
                <c:pt idx="89">
                  <c:v>-2.9424824000000087</c:v>
                </c:pt>
                <c:pt idx="90">
                  <c:v>-5.6759816750000063</c:v>
                </c:pt>
                <c:pt idx="91">
                  <c:v>-8.4701565000000123</c:v>
                </c:pt>
                <c:pt idx="92">
                  <c:v>-11.325006875000012</c:v>
                </c:pt>
                <c:pt idx="93">
                  <c:v>-14.240532800000015</c:v>
                </c:pt>
                <c:pt idx="94">
                  <c:v>-17.216734275000018</c:v>
                </c:pt>
                <c:pt idx="95">
                  <c:v>-20.253611299999989</c:v>
                </c:pt>
                <c:pt idx="96">
                  <c:v>-23.351163875000026</c:v>
                </c:pt>
                <c:pt idx="97">
                  <c:v>-26.509391999999995</c:v>
                </c:pt>
                <c:pt idx="98">
                  <c:v>-29.72829567500003</c:v>
                </c:pt>
                <c:pt idx="99">
                  <c:v>-33.007874899999997</c:v>
                </c:pt>
                <c:pt idx="100">
                  <c:v>-36.348129675000038</c:v>
                </c:pt>
                <c:pt idx="101">
                  <c:v>-39.749060000000007</c:v>
                </c:pt>
                <c:pt idx="102">
                  <c:v>0</c:v>
                </c:pt>
              </c:numCache>
            </c:numRef>
          </c:xVal>
          <c:yVal>
            <c:numRef>
              <c:f>'Beispiel 1'!$AG$100:$AG$202</c:f>
              <c:numCache>
                <c:formatCode>General</c:formatCode>
                <c:ptCount val="103"/>
                <c:pt idx="0">
                  <c:v>1097.8396</c:v>
                </c:pt>
                <c:pt idx="1">
                  <c:v>1097.8396</c:v>
                </c:pt>
                <c:pt idx="2">
                  <c:v>1097.8396</c:v>
                </c:pt>
                <c:pt idx="3">
                  <c:v>1097.8396</c:v>
                </c:pt>
                <c:pt idx="4">
                  <c:v>1097.8396</c:v>
                </c:pt>
                <c:pt idx="5">
                  <c:v>1097.8396</c:v>
                </c:pt>
                <c:pt idx="6">
                  <c:v>1097.8396</c:v>
                </c:pt>
                <c:pt idx="7">
                  <c:v>1097.8396</c:v>
                </c:pt>
                <c:pt idx="8">
                  <c:v>1097.8396</c:v>
                </c:pt>
                <c:pt idx="9">
                  <c:v>1097.8396</c:v>
                </c:pt>
                <c:pt idx="10">
                  <c:v>1097.8396</c:v>
                </c:pt>
                <c:pt idx="11">
                  <c:v>1097.8396</c:v>
                </c:pt>
                <c:pt idx="12">
                  <c:v>1083.5630000000001</c:v>
                </c:pt>
                <c:pt idx="13">
                  <c:v>1069.2864</c:v>
                </c:pt>
                <c:pt idx="14">
                  <c:v>1055.0097999999998</c:v>
                </c:pt>
                <c:pt idx="15">
                  <c:v>1040.7331999999999</c:v>
                </c:pt>
                <c:pt idx="16">
                  <c:v>1026.4565999999998</c:v>
                </c:pt>
                <c:pt idx="17">
                  <c:v>1012.1799999999998</c:v>
                </c:pt>
                <c:pt idx="18">
                  <c:v>997.90339999999981</c:v>
                </c:pt>
                <c:pt idx="19">
                  <c:v>983.6268</c:v>
                </c:pt>
                <c:pt idx="20">
                  <c:v>969.35020000000009</c:v>
                </c:pt>
                <c:pt idx="21">
                  <c:v>955.07359999999994</c:v>
                </c:pt>
                <c:pt idx="22">
                  <c:v>940.79700000000003</c:v>
                </c:pt>
                <c:pt idx="23">
                  <c:v>926.52039999999988</c:v>
                </c:pt>
                <c:pt idx="24">
                  <c:v>912.24379999999985</c:v>
                </c:pt>
                <c:pt idx="25">
                  <c:v>897.96719999999993</c:v>
                </c:pt>
                <c:pt idx="26">
                  <c:v>883.6905999999999</c:v>
                </c:pt>
                <c:pt idx="27">
                  <c:v>869.41399999999976</c:v>
                </c:pt>
                <c:pt idx="28">
                  <c:v>855.13739999999984</c:v>
                </c:pt>
                <c:pt idx="29">
                  <c:v>840.8607999999997</c:v>
                </c:pt>
                <c:pt idx="30">
                  <c:v>826.58419999999978</c:v>
                </c:pt>
                <c:pt idx="31">
                  <c:v>812.30759999999987</c:v>
                </c:pt>
                <c:pt idx="32">
                  <c:v>798.03099999999984</c:v>
                </c:pt>
                <c:pt idx="33">
                  <c:v>783.75439999999981</c:v>
                </c:pt>
                <c:pt idx="34">
                  <c:v>769.47779999999977</c:v>
                </c:pt>
                <c:pt idx="35">
                  <c:v>755.20119999999963</c:v>
                </c:pt>
                <c:pt idx="36">
                  <c:v>740.92459999999994</c:v>
                </c:pt>
                <c:pt idx="37">
                  <c:v>726.64799999999991</c:v>
                </c:pt>
                <c:pt idx="38">
                  <c:v>712.37139999999988</c:v>
                </c:pt>
                <c:pt idx="39">
                  <c:v>698.09479999999985</c:v>
                </c:pt>
                <c:pt idx="40">
                  <c:v>683.81819999999982</c:v>
                </c:pt>
                <c:pt idx="41">
                  <c:v>669.54159999999979</c:v>
                </c:pt>
                <c:pt idx="42">
                  <c:v>655.2650000000001</c:v>
                </c:pt>
                <c:pt idx="43">
                  <c:v>640.98840000000007</c:v>
                </c:pt>
                <c:pt idx="44">
                  <c:v>626.71180000000004</c:v>
                </c:pt>
                <c:pt idx="45">
                  <c:v>612.4351999999999</c:v>
                </c:pt>
                <c:pt idx="46">
                  <c:v>598.15859999999998</c:v>
                </c:pt>
                <c:pt idx="47">
                  <c:v>583.88199999999995</c:v>
                </c:pt>
                <c:pt idx="48">
                  <c:v>569.6053999999998</c:v>
                </c:pt>
                <c:pt idx="49">
                  <c:v>555.3288</c:v>
                </c:pt>
                <c:pt idx="50">
                  <c:v>541.05219999999986</c:v>
                </c:pt>
                <c:pt idx="51">
                  <c:v>526.77559999999994</c:v>
                </c:pt>
                <c:pt idx="52">
                  <c:v>512.49900000000002</c:v>
                </c:pt>
                <c:pt idx="53">
                  <c:v>498.22239999999988</c:v>
                </c:pt>
                <c:pt idx="54">
                  <c:v>483.94579999999985</c:v>
                </c:pt>
                <c:pt idx="55">
                  <c:v>469.66919999999971</c:v>
                </c:pt>
                <c:pt idx="56">
                  <c:v>455.39259999999985</c:v>
                </c:pt>
                <c:pt idx="57">
                  <c:v>441.11599999999987</c:v>
                </c:pt>
                <c:pt idx="58">
                  <c:v>426.83940000000001</c:v>
                </c:pt>
                <c:pt idx="59">
                  <c:v>412.56279999999992</c:v>
                </c:pt>
                <c:pt idx="60">
                  <c:v>398.28619999999995</c:v>
                </c:pt>
                <c:pt idx="61">
                  <c:v>384.00959999999992</c:v>
                </c:pt>
                <c:pt idx="62">
                  <c:v>369.73299999999995</c:v>
                </c:pt>
                <c:pt idx="63">
                  <c:v>355.45639999999997</c:v>
                </c:pt>
                <c:pt idx="64">
                  <c:v>341.17979999999994</c:v>
                </c:pt>
                <c:pt idx="65">
                  <c:v>326.90319999999991</c:v>
                </c:pt>
                <c:pt idx="66">
                  <c:v>312.62659999999994</c:v>
                </c:pt>
                <c:pt idx="67">
                  <c:v>298.34999999999997</c:v>
                </c:pt>
                <c:pt idx="68">
                  <c:v>284.07339999999988</c:v>
                </c:pt>
                <c:pt idx="69">
                  <c:v>269.79679999999985</c:v>
                </c:pt>
                <c:pt idx="70">
                  <c:v>255.52020000000002</c:v>
                </c:pt>
                <c:pt idx="71">
                  <c:v>241.24360000000001</c:v>
                </c:pt>
                <c:pt idx="72">
                  <c:v>226.96700000000001</c:v>
                </c:pt>
                <c:pt idx="73">
                  <c:v>212.69039999999995</c:v>
                </c:pt>
                <c:pt idx="74">
                  <c:v>198.41380000000001</c:v>
                </c:pt>
                <c:pt idx="75">
                  <c:v>184.13719999999998</c:v>
                </c:pt>
                <c:pt idx="76">
                  <c:v>169.86059999999992</c:v>
                </c:pt>
                <c:pt idx="77">
                  <c:v>155.58399999999992</c:v>
                </c:pt>
                <c:pt idx="78">
                  <c:v>141.30739999999989</c:v>
                </c:pt>
                <c:pt idx="79">
                  <c:v>127.03079999999994</c:v>
                </c:pt>
                <c:pt idx="80">
                  <c:v>112.75419999999993</c:v>
                </c:pt>
                <c:pt idx="81">
                  <c:v>98.477599999999882</c:v>
                </c:pt>
                <c:pt idx="82">
                  <c:v>84.200999999999894</c:v>
                </c:pt>
                <c:pt idx="83">
                  <c:v>69.924400000000034</c:v>
                </c:pt>
                <c:pt idx="84">
                  <c:v>55.647800000000018</c:v>
                </c:pt>
                <c:pt idx="85">
                  <c:v>41.371199999999988</c:v>
                </c:pt>
                <c:pt idx="86">
                  <c:v>27.0946</c:v>
                </c:pt>
                <c:pt idx="87">
                  <c:v>12.817999999999969</c:v>
                </c:pt>
                <c:pt idx="88">
                  <c:v>-1.4586000000000192</c:v>
                </c:pt>
                <c:pt idx="89">
                  <c:v>-15.735200000000047</c:v>
                </c:pt>
                <c:pt idx="90">
                  <c:v>-30.011800000000036</c:v>
                </c:pt>
                <c:pt idx="91">
                  <c:v>-44.28840000000006</c:v>
                </c:pt>
                <c:pt idx="92">
                  <c:v>-58.565000000000069</c:v>
                </c:pt>
                <c:pt idx="93">
                  <c:v>-72.841600000000071</c:v>
                </c:pt>
                <c:pt idx="94">
                  <c:v>-87.118200000000087</c:v>
                </c:pt>
                <c:pt idx="95">
                  <c:v>-101.39479999999995</c:v>
                </c:pt>
                <c:pt idx="96">
                  <c:v>-115.67140000000013</c:v>
                </c:pt>
                <c:pt idx="97">
                  <c:v>-129.94799999999998</c:v>
                </c:pt>
                <c:pt idx="98">
                  <c:v>-144.22460000000015</c:v>
                </c:pt>
                <c:pt idx="99">
                  <c:v>-158.50119999999998</c:v>
                </c:pt>
                <c:pt idx="100">
                  <c:v>-172.77780000000018</c:v>
                </c:pt>
                <c:pt idx="101">
                  <c:v>-187.05440000000004</c:v>
                </c:pt>
                <c:pt idx="102">
                  <c:v>0</c:v>
                </c:pt>
              </c:numCache>
            </c:numRef>
          </c:yVal>
          <c:smooth val="1"/>
          <c:extLst>
            <c:ext xmlns:c16="http://schemas.microsoft.com/office/drawing/2014/chart" uri="{C3380CC4-5D6E-409C-BE32-E72D297353CC}">
              <c16:uniqueId val="{00000001-AE06-481B-B255-2624ABAE12F4}"/>
            </c:ext>
          </c:extLst>
        </c:ser>
        <c:ser>
          <c:idx val="1"/>
          <c:order val="2"/>
          <c:tx>
            <c:v>NRd Fuß</c:v>
          </c:tx>
          <c:spPr>
            <a:ln w="25400" cap="rnd">
              <a:solidFill>
                <a:schemeClr val="accent2"/>
              </a:solidFill>
              <a:prstDash val="sysDash"/>
              <a:round/>
            </a:ln>
            <a:effectLst/>
          </c:spPr>
          <c:marker>
            <c:symbol val="none"/>
          </c:marker>
          <c:xVal>
            <c:numRef>
              <c:f>'Beispiel 1'!$AA$100:$AA$202</c:f>
              <c:numCache>
                <c:formatCode>General</c:formatCode>
                <c:ptCount val="103"/>
                <c:pt idx="0">
                  <c:v>0</c:v>
                </c:pt>
                <c:pt idx="1">
                  <c:v>0</c:v>
                </c:pt>
                <c:pt idx="2">
                  <c:v>0.78876811650000012</c:v>
                </c:pt>
                <c:pt idx="3">
                  <c:v>1.5632094660000004</c:v>
                </c:pt>
                <c:pt idx="4">
                  <c:v>2.3233240485000004</c:v>
                </c:pt>
                <c:pt idx="5">
                  <c:v>3.0691118640000008</c:v>
                </c:pt>
                <c:pt idx="6">
                  <c:v>3.8005729125000007</c:v>
                </c:pt>
                <c:pt idx="7">
                  <c:v>4.5177071940000006</c:v>
                </c:pt>
                <c:pt idx="8">
                  <c:v>5.2205147085000014</c:v>
                </c:pt>
                <c:pt idx="9">
                  <c:v>5.9089954560000013</c:v>
                </c:pt>
                <c:pt idx="10">
                  <c:v>6.5831494365000012</c:v>
                </c:pt>
                <c:pt idx="11">
                  <c:v>7.242976650000001</c:v>
                </c:pt>
                <c:pt idx="12">
                  <c:v>7.8884770965000017</c:v>
                </c:pt>
                <c:pt idx="13">
                  <c:v>8.5196507760000006</c:v>
                </c:pt>
                <c:pt idx="14">
                  <c:v>9.1364976885000022</c:v>
                </c:pt>
                <c:pt idx="15">
                  <c:v>9.739017834000002</c:v>
                </c:pt>
                <c:pt idx="16">
                  <c:v>10.3272112125</c:v>
                </c:pt>
                <c:pt idx="17">
                  <c:v>10.901077824000001</c:v>
                </c:pt>
                <c:pt idx="18">
                  <c:v>11.460617668500001</c:v>
                </c:pt>
                <c:pt idx="19">
                  <c:v>12.005830746000003</c:v>
                </c:pt>
                <c:pt idx="20">
                  <c:v>12.536717056500001</c:v>
                </c:pt>
                <c:pt idx="21">
                  <c:v>13.053276600000002</c:v>
                </c:pt>
                <c:pt idx="22">
                  <c:v>13.555509376500002</c:v>
                </c:pt>
                <c:pt idx="23">
                  <c:v>14.043415386000003</c:v>
                </c:pt>
                <c:pt idx="24">
                  <c:v>14.516994628500003</c:v>
                </c:pt>
                <c:pt idx="25">
                  <c:v>14.976247104</c:v>
                </c:pt>
                <c:pt idx="26">
                  <c:v>15.421172812500002</c:v>
                </c:pt>
                <c:pt idx="27">
                  <c:v>15.851771754000001</c:v>
                </c:pt>
                <c:pt idx="28">
                  <c:v>16.268043928500006</c:v>
                </c:pt>
                <c:pt idx="29">
                  <c:v>16.669989336000004</c:v>
                </c:pt>
                <c:pt idx="30">
                  <c:v>17.057607976500002</c:v>
                </c:pt>
                <c:pt idx="31">
                  <c:v>17.430899849999999</c:v>
                </c:pt>
                <c:pt idx="32">
                  <c:v>17.789864956500001</c:v>
                </c:pt>
                <c:pt idx="33">
                  <c:v>18.134503296000002</c:v>
                </c:pt>
                <c:pt idx="34">
                  <c:v>18.4648148685</c:v>
                </c:pt>
                <c:pt idx="35">
                  <c:v>18.780799674000001</c:v>
                </c:pt>
                <c:pt idx="36">
                  <c:v>19.082457712500002</c:v>
                </c:pt>
                <c:pt idx="37">
                  <c:v>19.369788984000003</c:v>
                </c:pt>
                <c:pt idx="38">
                  <c:v>19.642793488500001</c:v>
                </c:pt>
                <c:pt idx="39">
                  <c:v>19.901471225999998</c:v>
                </c:pt>
                <c:pt idx="40">
                  <c:v>20.145822196499999</c:v>
                </c:pt>
                <c:pt idx="41">
                  <c:v>20.3758464</c:v>
                </c:pt>
                <c:pt idx="42">
                  <c:v>20.591543836500001</c:v>
                </c:pt>
                <c:pt idx="43">
                  <c:v>20.792914506000002</c:v>
                </c:pt>
                <c:pt idx="44">
                  <c:v>20.9799584085</c:v>
                </c:pt>
                <c:pt idx="45">
                  <c:v>21.152675544000001</c:v>
                </c:pt>
                <c:pt idx="46">
                  <c:v>21.311065912500002</c:v>
                </c:pt>
                <c:pt idx="47">
                  <c:v>21.455129513999999</c:v>
                </c:pt>
                <c:pt idx="48">
                  <c:v>21.584866348499997</c:v>
                </c:pt>
                <c:pt idx="49">
                  <c:v>21.700276416000001</c:v>
                </c:pt>
                <c:pt idx="50">
                  <c:v>21.801359716500002</c:v>
                </c:pt>
                <c:pt idx="51">
                  <c:v>21.888116249999999</c:v>
                </c:pt>
                <c:pt idx="52">
                  <c:v>21.9605460165</c:v>
                </c:pt>
                <c:pt idx="53">
                  <c:v>22.018649015999998</c:v>
                </c:pt>
                <c:pt idx="54">
                  <c:v>22.062425248499995</c:v>
                </c:pt>
                <c:pt idx="55">
                  <c:v>22.091874714000006</c:v>
                </c:pt>
                <c:pt idx="56">
                  <c:v>22.106997412499997</c:v>
                </c:pt>
                <c:pt idx="57">
                  <c:v>22.107793344000001</c:v>
                </c:pt>
                <c:pt idx="58">
                  <c:v>22.094262508499998</c:v>
                </c:pt>
                <c:pt idx="59">
                  <c:v>22.066404906000002</c:v>
                </c:pt>
                <c:pt idx="60">
                  <c:v>22.0242205365</c:v>
                </c:pt>
                <c:pt idx="61">
                  <c:v>21.967709399999997</c:v>
                </c:pt>
                <c:pt idx="62">
                  <c:v>21.896871496499994</c:v>
                </c:pt>
                <c:pt idx="63">
                  <c:v>21.811706825999998</c:v>
                </c:pt>
                <c:pt idx="64">
                  <c:v>21.712215388500002</c:v>
                </c:pt>
                <c:pt idx="65">
                  <c:v>21.598397184</c:v>
                </c:pt>
                <c:pt idx="66">
                  <c:v>21.4702522125</c:v>
                </c:pt>
                <c:pt idx="67">
                  <c:v>21.327780473999994</c:v>
                </c:pt>
                <c:pt idx="68">
                  <c:v>21.170981968499991</c:v>
                </c:pt>
                <c:pt idx="69">
                  <c:v>20.999856695999995</c:v>
                </c:pt>
                <c:pt idx="70">
                  <c:v>20.814404656499995</c:v>
                </c:pt>
                <c:pt idx="71">
                  <c:v>20.614625849999996</c:v>
                </c:pt>
                <c:pt idx="72">
                  <c:v>20.400520276499996</c:v>
                </c:pt>
                <c:pt idx="73">
                  <c:v>20.172087936</c:v>
                </c:pt>
                <c:pt idx="74">
                  <c:v>19.929328828499997</c:v>
                </c:pt>
                <c:pt idx="75">
                  <c:v>19.672242953999994</c:v>
                </c:pt>
                <c:pt idx="76">
                  <c:v>19.400830312499995</c:v>
                </c:pt>
                <c:pt idx="77">
                  <c:v>19.115090903999995</c:v>
                </c:pt>
                <c:pt idx="78">
                  <c:v>18.815024728499999</c:v>
                </c:pt>
                <c:pt idx="79">
                  <c:v>18.500631785999992</c:v>
                </c:pt>
                <c:pt idx="80">
                  <c:v>18.171912076499986</c:v>
                </c:pt>
                <c:pt idx="81">
                  <c:v>17.82886559999999</c:v>
                </c:pt>
                <c:pt idx="82">
                  <c:v>17.47149235649999</c:v>
                </c:pt>
                <c:pt idx="83">
                  <c:v>17.099792345999994</c:v>
                </c:pt>
                <c:pt idx="84">
                  <c:v>16.713765568499998</c:v>
                </c:pt>
                <c:pt idx="85">
                  <c:v>16.313412023999998</c:v>
                </c:pt>
                <c:pt idx="86">
                  <c:v>15.898731712499984</c:v>
                </c:pt>
                <c:pt idx="87">
                  <c:v>15.469724633999995</c:v>
                </c:pt>
                <c:pt idx="88">
                  <c:v>15.02639078849999</c:v>
                </c:pt>
                <c:pt idx="89">
                  <c:v>14.568730175999988</c:v>
                </c:pt>
                <c:pt idx="90">
                  <c:v>14.096742796499992</c:v>
                </c:pt>
                <c:pt idx="91">
                  <c:v>13.610428649999996</c:v>
                </c:pt>
                <c:pt idx="92">
                  <c:v>13.109787736499994</c:v>
                </c:pt>
                <c:pt idx="93">
                  <c:v>12.594820055999982</c:v>
                </c:pt>
                <c:pt idx="94">
                  <c:v>12.065525608499993</c:v>
                </c:pt>
                <c:pt idx="95">
                  <c:v>11.521904393999989</c:v>
                </c:pt>
                <c:pt idx="96">
                  <c:v>10.963956412500002</c:v>
                </c:pt>
                <c:pt idx="97">
                  <c:v>10.391681663999989</c:v>
                </c:pt>
                <c:pt idx="98">
                  <c:v>9.8050801484999948</c:v>
                </c:pt>
                <c:pt idx="99">
                  <c:v>9.2041518659999895</c:v>
                </c:pt>
                <c:pt idx="100">
                  <c:v>8.588896816499977</c:v>
                </c:pt>
                <c:pt idx="101">
                  <c:v>7.9593149999999904</c:v>
                </c:pt>
                <c:pt idx="102">
                  <c:v>0</c:v>
                </c:pt>
              </c:numCache>
            </c:numRef>
          </c:xVal>
          <c:yVal>
            <c:numRef>
              <c:f>'Beispiel 1'!$Y$100:$Y$202</c:f>
              <c:numCache>
                <c:formatCode>General</c:formatCode>
                <c:ptCount val="103"/>
                <c:pt idx="0">
                  <c:v>0</c:v>
                </c:pt>
                <c:pt idx="1">
                  <c:v>0</c:v>
                </c:pt>
                <c:pt idx="2">
                  <c:v>6.4974000000000016</c:v>
                </c:pt>
                <c:pt idx="3">
                  <c:v>12.994800000000003</c:v>
                </c:pt>
                <c:pt idx="4">
                  <c:v>19.492200000000004</c:v>
                </c:pt>
                <c:pt idx="5">
                  <c:v>25.989600000000006</c:v>
                </c:pt>
                <c:pt idx="6">
                  <c:v>32.487000000000009</c:v>
                </c:pt>
                <c:pt idx="7">
                  <c:v>38.984400000000008</c:v>
                </c:pt>
                <c:pt idx="8">
                  <c:v>45.481800000000014</c:v>
                </c:pt>
                <c:pt idx="9">
                  <c:v>51.979200000000013</c:v>
                </c:pt>
                <c:pt idx="10">
                  <c:v>58.476600000000012</c:v>
                </c:pt>
                <c:pt idx="11">
                  <c:v>64.974000000000018</c:v>
                </c:pt>
                <c:pt idx="12">
                  <c:v>71.471400000000017</c:v>
                </c:pt>
                <c:pt idx="13">
                  <c:v>77.968800000000016</c:v>
                </c:pt>
                <c:pt idx="14">
                  <c:v>84.466200000000015</c:v>
                </c:pt>
                <c:pt idx="15">
                  <c:v>90.963600000000028</c:v>
                </c:pt>
                <c:pt idx="16">
                  <c:v>97.461000000000013</c:v>
                </c:pt>
                <c:pt idx="17">
                  <c:v>103.95840000000003</c:v>
                </c:pt>
                <c:pt idx="18">
                  <c:v>110.45580000000002</c:v>
                </c:pt>
                <c:pt idx="19">
                  <c:v>116.95320000000002</c:v>
                </c:pt>
                <c:pt idx="20">
                  <c:v>123.45060000000002</c:v>
                </c:pt>
                <c:pt idx="21">
                  <c:v>129.94800000000004</c:v>
                </c:pt>
                <c:pt idx="22">
                  <c:v>136.44540000000003</c:v>
                </c:pt>
                <c:pt idx="23">
                  <c:v>142.94280000000003</c:v>
                </c:pt>
                <c:pt idx="24">
                  <c:v>149.44020000000003</c:v>
                </c:pt>
                <c:pt idx="25">
                  <c:v>155.93760000000003</c:v>
                </c:pt>
                <c:pt idx="26">
                  <c:v>162.43500000000003</c:v>
                </c:pt>
                <c:pt idx="27">
                  <c:v>168.93240000000003</c:v>
                </c:pt>
                <c:pt idx="28">
                  <c:v>175.42980000000006</c:v>
                </c:pt>
                <c:pt idx="29">
                  <c:v>181.92720000000006</c:v>
                </c:pt>
                <c:pt idx="30">
                  <c:v>188.42460000000003</c:v>
                </c:pt>
                <c:pt idx="31">
                  <c:v>194.92200000000003</c:v>
                </c:pt>
                <c:pt idx="32">
                  <c:v>201.41940000000002</c:v>
                </c:pt>
                <c:pt idx="33">
                  <c:v>207.91680000000005</c:v>
                </c:pt>
                <c:pt idx="34">
                  <c:v>214.41420000000005</c:v>
                </c:pt>
                <c:pt idx="35">
                  <c:v>220.91160000000005</c:v>
                </c:pt>
                <c:pt idx="36">
                  <c:v>227.40900000000002</c:v>
                </c:pt>
                <c:pt idx="37">
                  <c:v>233.90640000000005</c:v>
                </c:pt>
                <c:pt idx="38">
                  <c:v>240.40380000000005</c:v>
                </c:pt>
                <c:pt idx="39">
                  <c:v>246.90120000000005</c:v>
                </c:pt>
                <c:pt idx="40">
                  <c:v>253.39860000000004</c:v>
                </c:pt>
                <c:pt idx="41">
                  <c:v>259.89600000000007</c:v>
                </c:pt>
                <c:pt idx="42">
                  <c:v>266.39340000000004</c:v>
                </c:pt>
                <c:pt idx="43">
                  <c:v>272.89080000000007</c:v>
                </c:pt>
                <c:pt idx="44">
                  <c:v>279.38820000000004</c:v>
                </c:pt>
                <c:pt idx="45">
                  <c:v>285.88560000000007</c:v>
                </c:pt>
                <c:pt idx="46">
                  <c:v>292.38300000000004</c:v>
                </c:pt>
                <c:pt idx="47">
                  <c:v>298.88040000000007</c:v>
                </c:pt>
                <c:pt idx="48">
                  <c:v>305.37780000000004</c:v>
                </c:pt>
                <c:pt idx="49">
                  <c:v>311.87520000000006</c:v>
                </c:pt>
                <c:pt idx="50">
                  <c:v>318.37260000000003</c:v>
                </c:pt>
                <c:pt idx="51">
                  <c:v>324.87000000000006</c:v>
                </c:pt>
                <c:pt idx="52">
                  <c:v>331.36740000000009</c:v>
                </c:pt>
                <c:pt idx="53">
                  <c:v>337.86480000000006</c:v>
                </c:pt>
                <c:pt idx="54">
                  <c:v>344.36220000000009</c:v>
                </c:pt>
                <c:pt idx="55">
                  <c:v>350.85960000000011</c:v>
                </c:pt>
                <c:pt idx="56">
                  <c:v>357.35700000000008</c:v>
                </c:pt>
                <c:pt idx="57">
                  <c:v>363.85440000000011</c:v>
                </c:pt>
                <c:pt idx="58">
                  <c:v>370.35180000000003</c:v>
                </c:pt>
                <c:pt idx="59">
                  <c:v>376.84920000000005</c:v>
                </c:pt>
                <c:pt idx="60">
                  <c:v>383.34660000000008</c:v>
                </c:pt>
                <c:pt idx="61">
                  <c:v>389.84400000000005</c:v>
                </c:pt>
                <c:pt idx="62">
                  <c:v>396.34140000000008</c:v>
                </c:pt>
                <c:pt idx="63">
                  <c:v>402.83880000000005</c:v>
                </c:pt>
                <c:pt idx="64">
                  <c:v>409.33620000000008</c:v>
                </c:pt>
                <c:pt idx="65">
                  <c:v>415.8336000000001</c:v>
                </c:pt>
                <c:pt idx="66">
                  <c:v>422.33100000000007</c:v>
                </c:pt>
                <c:pt idx="67">
                  <c:v>428.8284000000001</c:v>
                </c:pt>
                <c:pt idx="68">
                  <c:v>435.32580000000013</c:v>
                </c:pt>
                <c:pt idx="69">
                  <c:v>441.8232000000001</c:v>
                </c:pt>
                <c:pt idx="70">
                  <c:v>448.32060000000007</c:v>
                </c:pt>
                <c:pt idx="71">
                  <c:v>454.81800000000004</c:v>
                </c:pt>
                <c:pt idx="72">
                  <c:v>461.31540000000007</c:v>
                </c:pt>
                <c:pt idx="73">
                  <c:v>467.8128000000001</c:v>
                </c:pt>
                <c:pt idx="74">
                  <c:v>474.31020000000007</c:v>
                </c:pt>
                <c:pt idx="75">
                  <c:v>480.80760000000009</c:v>
                </c:pt>
                <c:pt idx="76">
                  <c:v>487.30500000000006</c:v>
                </c:pt>
                <c:pt idx="77">
                  <c:v>493.80240000000009</c:v>
                </c:pt>
                <c:pt idx="78">
                  <c:v>500.29980000000012</c:v>
                </c:pt>
                <c:pt idx="79">
                  <c:v>506.79720000000009</c:v>
                </c:pt>
                <c:pt idx="80">
                  <c:v>513.29460000000017</c:v>
                </c:pt>
                <c:pt idx="81">
                  <c:v>519.79200000000014</c:v>
                </c:pt>
                <c:pt idx="82">
                  <c:v>526.28940000000011</c:v>
                </c:pt>
                <c:pt idx="83">
                  <c:v>532.78680000000008</c:v>
                </c:pt>
                <c:pt idx="84">
                  <c:v>539.28420000000006</c:v>
                </c:pt>
                <c:pt idx="85">
                  <c:v>545.78160000000014</c:v>
                </c:pt>
                <c:pt idx="86">
                  <c:v>552.27900000000011</c:v>
                </c:pt>
                <c:pt idx="87">
                  <c:v>558.77640000000008</c:v>
                </c:pt>
                <c:pt idx="88">
                  <c:v>565.27380000000005</c:v>
                </c:pt>
                <c:pt idx="89">
                  <c:v>571.77120000000014</c:v>
                </c:pt>
                <c:pt idx="90">
                  <c:v>578.26860000000011</c:v>
                </c:pt>
                <c:pt idx="91">
                  <c:v>584.76600000000008</c:v>
                </c:pt>
                <c:pt idx="92">
                  <c:v>591.26340000000016</c:v>
                </c:pt>
                <c:pt idx="93">
                  <c:v>597.76080000000013</c:v>
                </c:pt>
                <c:pt idx="94">
                  <c:v>604.2582000000001</c:v>
                </c:pt>
                <c:pt idx="95">
                  <c:v>610.75560000000007</c:v>
                </c:pt>
                <c:pt idx="96">
                  <c:v>617.25300000000004</c:v>
                </c:pt>
                <c:pt idx="97">
                  <c:v>623.75040000000013</c:v>
                </c:pt>
                <c:pt idx="98">
                  <c:v>630.2478000000001</c:v>
                </c:pt>
                <c:pt idx="99">
                  <c:v>636.74520000000007</c:v>
                </c:pt>
                <c:pt idx="100">
                  <c:v>643.24260000000015</c:v>
                </c:pt>
                <c:pt idx="101">
                  <c:v>649.74000000000012</c:v>
                </c:pt>
                <c:pt idx="102">
                  <c:v>649.74000000000012</c:v>
                </c:pt>
              </c:numCache>
            </c:numRef>
          </c:yVal>
          <c:smooth val="1"/>
          <c:extLst>
            <c:ext xmlns:c16="http://schemas.microsoft.com/office/drawing/2014/chart" uri="{C3380CC4-5D6E-409C-BE32-E72D297353CC}">
              <c16:uniqueId val="{00000002-AE06-481B-B255-2624ABAE12F4}"/>
            </c:ext>
          </c:extLst>
        </c:ser>
        <c:ser>
          <c:idx val="3"/>
          <c:order val="3"/>
          <c:tx>
            <c:v>M/N Kopf</c:v>
          </c:tx>
          <c:spPr>
            <a:ln w="19050" cap="rnd">
              <a:noFill/>
              <a:round/>
            </a:ln>
            <a:effectLst/>
          </c:spPr>
          <c:marker>
            <c:symbol val="star"/>
            <c:size val="8"/>
            <c:spPr>
              <a:noFill/>
              <a:ln w="19050">
                <a:solidFill>
                  <a:schemeClr val="accent1"/>
                </a:solidFill>
              </a:ln>
              <a:effectLst/>
            </c:spPr>
          </c:marker>
          <c:xVal>
            <c:numRef>
              <c:f>'Beispiel 1'!$U$96</c:f>
              <c:numCache>
                <c:formatCode>General</c:formatCode>
                <c:ptCount val="1"/>
                <c:pt idx="0">
                  <c:v>5.8539075</c:v>
                </c:pt>
              </c:numCache>
            </c:numRef>
          </c:xVal>
          <c:yVal>
            <c:numRef>
              <c:f>'Beispiel 1'!$U$97</c:f>
              <c:numCache>
                <c:formatCode>General</c:formatCode>
                <c:ptCount val="1"/>
                <c:pt idx="0">
                  <c:v>477.87</c:v>
                </c:pt>
              </c:numCache>
            </c:numRef>
          </c:yVal>
          <c:smooth val="1"/>
          <c:extLst>
            <c:ext xmlns:c16="http://schemas.microsoft.com/office/drawing/2014/chart" uri="{C3380CC4-5D6E-409C-BE32-E72D297353CC}">
              <c16:uniqueId val="{00000003-AE06-481B-B255-2624ABAE12F4}"/>
            </c:ext>
          </c:extLst>
        </c:ser>
        <c:ser>
          <c:idx val="5"/>
          <c:order val="4"/>
          <c:tx>
            <c:v>M/N Mitte</c:v>
          </c:tx>
          <c:spPr>
            <a:ln w="19050" cap="rnd">
              <a:noFill/>
              <a:round/>
            </a:ln>
            <a:effectLst/>
          </c:spPr>
          <c:marker>
            <c:symbol val="x"/>
            <c:size val="8"/>
            <c:spPr>
              <a:noFill/>
              <a:ln w="19050">
                <a:solidFill>
                  <a:schemeClr val="accent3">
                    <a:lumMod val="75000"/>
                  </a:schemeClr>
                </a:solidFill>
              </a:ln>
              <a:effectLst/>
            </c:spPr>
          </c:marker>
          <c:xVal>
            <c:numRef>
              <c:f>'Beispiel 1'!$AC$96</c:f>
              <c:numCache>
                <c:formatCode>General</c:formatCode>
                <c:ptCount val="1"/>
                <c:pt idx="0">
                  <c:v>48.518225917840141</c:v>
                </c:pt>
              </c:numCache>
            </c:numRef>
          </c:xVal>
          <c:yVal>
            <c:numRef>
              <c:f>'Beispiel 1'!$AC$97</c:f>
              <c:numCache>
                <c:formatCode>General</c:formatCode>
                <c:ptCount val="1"/>
                <c:pt idx="0">
                  <c:v>485.44503368437501</c:v>
                </c:pt>
              </c:numCache>
            </c:numRef>
          </c:yVal>
          <c:smooth val="1"/>
          <c:extLst>
            <c:ext xmlns:c16="http://schemas.microsoft.com/office/drawing/2014/chart" uri="{C3380CC4-5D6E-409C-BE32-E72D297353CC}">
              <c16:uniqueId val="{00000004-AE06-481B-B255-2624ABAE12F4}"/>
            </c:ext>
          </c:extLst>
        </c:ser>
        <c:ser>
          <c:idx val="4"/>
          <c:order val="5"/>
          <c:tx>
            <c:v>M/N Fuß</c:v>
          </c:tx>
          <c:spPr>
            <a:ln w="19050" cap="rnd">
              <a:noFill/>
              <a:round/>
            </a:ln>
            <a:effectLst/>
          </c:spPr>
          <c:marker>
            <c:symbol val="plus"/>
            <c:size val="8"/>
            <c:spPr>
              <a:noFill/>
              <a:ln w="19050">
                <a:solidFill>
                  <a:schemeClr val="accent2"/>
                </a:solidFill>
              </a:ln>
              <a:effectLst/>
            </c:spPr>
          </c:marker>
          <c:xVal>
            <c:numRef>
              <c:f>'Beispiel 1'!$Y$96</c:f>
              <c:numCache>
                <c:formatCode>General</c:formatCode>
                <c:ptCount val="1"/>
                <c:pt idx="0">
                  <c:v>6.0394958252671875</c:v>
                </c:pt>
              </c:numCache>
            </c:numRef>
          </c:xVal>
          <c:yVal>
            <c:numRef>
              <c:f>'Beispiel 1'!$Y$97</c:f>
              <c:numCache>
                <c:formatCode>General</c:formatCode>
                <c:ptCount val="1"/>
                <c:pt idx="0">
                  <c:v>493.02006736875001</c:v>
                </c:pt>
              </c:numCache>
            </c:numRef>
          </c:yVal>
          <c:smooth val="1"/>
          <c:extLst>
            <c:ext xmlns:c16="http://schemas.microsoft.com/office/drawing/2014/chart" uri="{C3380CC4-5D6E-409C-BE32-E72D297353CC}">
              <c16:uniqueId val="{00000005-AE06-481B-B255-2624ABAE12F4}"/>
            </c:ext>
          </c:extLst>
        </c:ser>
        <c:dLbls>
          <c:showLegendKey val="0"/>
          <c:showVal val="0"/>
          <c:showCatName val="0"/>
          <c:showSerName val="0"/>
          <c:showPercent val="0"/>
          <c:showBubbleSize val="0"/>
        </c:dLbls>
        <c:axId val="467686616"/>
        <c:axId val="467687400"/>
      </c:scatterChart>
      <c:valAx>
        <c:axId val="467686616"/>
        <c:scaling>
          <c:orientation val="minMax"/>
          <c:min val="0"/>
        </c:scaling>
        <c:delete val="0"/>
        <c:axPos val="b"/>
        <c:title>
          <c:tx>
            <c:rich>
              <a:bodyPr rot="0" spcFirstLastPara="1" vertOverflow="ellipsis" vert="horz" wrap="square" anchor="ctr" anchorCtr="1"/>
              <a:lstStyle/>
              <a:p>
                <a:pPr>
                  <a:defRPr sz="1000" b="0" i="0" u="none" strike="noStrike" kern="1200" baseline="0">
                    <a:ln>
                      <a:noFill/>
                    </a:ln>
                    <a:solidFill>
                      <a:sysClr val="windowText" lastClr="000000"/>
                    </a:solidFill>
                    <a:latin typeface="+mn-lt"/>
                    <a:ea typeface="+mn-ea"/>
                    <a:cs typeface="+mn-cs"/>
                  </a:defRPr>
                </a:pPr>
                <a:r>
                  <a:rPr lang="de-AT" b="1">
                    <a:ln>
                      <a:noFill/>
                    </a:ln>
                    <a:solidFill>
                      <a:sysClr val="windowText" lastClr="000000"/>
                    </a:solidFill>
                  </a:rPr>
                  <a:t>Biegemoment [kNm/m]</a:t>
                </a:r>
              </a:p>
            </c:rich>
          </c:tx>
          <c:layout>
            <c:manualLayout>
              <c:xMode val="edge"/>
              <c:yMode val="edge"/>
              <c:x val="0.23715453004176493"/>
              <c:y val="0.9001975578278566"/>
            </c:manualLayout>
          </c:layout>
          <c:overlay val="0"/>
          <c:spPr>
            <a:noFill/>
            <a:ln>
              <a:noFill/>
            </a:ln>
            <a:effectLst/>
          </c:spPr>
          <c:txPr>
            <a:bodyPr rot="0" spcFirstLastPara="1" vertOverflow="ellipsis" vert="horz" wrap="square" anchor="ctr" anchorCtr="1"/>
            <a:lstStyle/>
            <a:p>
              <a:pPr>
                <a:defRPr sz="1000" b="0" i="0" u="none" strike="noStrike" kern="1200" baseline="0">
                  <a:ln>
                    <a:noFill/>
                  </a:ln>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7400"/>
        <c:crosses val="autoZero"/>
        <c:crossBetween val="midCat"/>
      </c:valAx>
      <c:valAx>
        <c:axId val="467687400"/>
        <c:scaling>
          <c:orientation val="minMax"/>
          <c:min val="0"/>
        </c:scaling>
        <c:delete val="0"/>
        <c:axPos val="l"/>
        <c:majorGridlines>
          <c:spPr>
            <a:ln w="9525" cap="flat" cmpd="sng" algn="ctr">
              <a:solidFill>
                <a:schemeClr val="tx1">
                  <a:lumMod val="50000"/>
                  <a:lumOff val="50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de-AT" b="1">
                    <a:solidFill>
                      <a:sysClr val="windowText" lastClr="000000"/>
                    </a:solidFill>
                  </a:rPr>
                  <a:t>Normalkraft [kN/m]</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6616"/>
        <c:crosses val="autoZero"/>
        <c:crossBetween val="midCat"/>
      </c:valAx>
      <c:spPr>
        <a:noFill/>
        <a:ln>
          <a:noFill/>
        </a:ln>
        <a:effectLst/>
      </c:spPr>
    </c:plotArea>
    <c:legend>
      <c:legendPos val="r"/>
      <c:layout>
        <c:manualLayout>
          <c:xMode val="edge"/>
          <c:yMode val="edge"/>
          <c:x val="0.77345070359045776"/>
          <c:y val="2.5939682068043389E-2"/>
          <c:w val="0.21361413380805722"/>
          <c:h val="0.9363244688753528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374567901234571"/>
        </c:manualLayout>
      </c:layout>
      <c:scatterChart>
        <c:scatterStyle val="lineMarker"/>
        <c:varyColors val="0"/>
        <c:ser>
          <c:idx val="0"/>
          <c:order val="0"/>
          <c:tx>
            <c:strRef>
              <c:f>'Beispiel 1'!$T$31</c:f>
              <c:strCache>
                <c:ptCount val="1"/>
                <c:pt idx="0">
                  <c:v>Wand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A283-4720-8EF6-A790D63EAE82}"/>
                </c:ext>
              </c:extLst>
            </c:dLbl>
            <c:dLbl>
              <c:idx val="1"/>
              <c:delete val="1"/>
              <c:extLst>
                <c:ext xmlns:c15="http://schemas.microsoft.com/office/drawing/2012/chart" uri="{CE6537A1-D6FC-4f65-9D91-7224C49458BB}"/>
                <c:ext xmlns:c16="http://schemas.microsoft.com/office/drawing/2014/chart" uri="{C3380CC4-5D6E-409C-BE32-E72D297353CC}">
                  <c16:uniqueId val="{00000001-A283-4720-8EF6-A790D63EAE82}"/>
                </c:ext>
              </c:extLst>
            </c:dLbl>
            <c:dLbl>
              <c:idx val="2"/>
              <c:delete val="1"/>
              <c:extLst>
                <c:ext xmlns:c15="http://schemas.microsoft.com/office/drawing/2012/chart" uri="{CE6537A1-D6FC-4f65-9D91-7224C49458BB}"/>
                <c:ext xmlns:c16="http://schemas.microsoft.com/office/drawing/2014/chart" uri="{C3380CC4-5D6E-409C-BE32-E72D297353CC}">
                  <c16:uniqueId val="{00000002-A283-4720-8EF6-A790D63EAE82}"/>
                </c:ext>
              </c:extLst>
            </c:dLbl>
            <c:dLbl>
              <c:idx val="3"/>
              <c:delete val="1"/>
              <c:extLst>
                <c:ext xmlns:c15="http://schemas.microsoft.com/office/drawing/2012/chart" uri="{CE6537A1-D6FC-4f65-9D91-7224C49458BB}"/>
                <c:ext xmlns:c16="http://schemas.microsoft.com/office/drawing/2014/chart" uri="{C3380CC4-5D6E-409C-BE32-E72D297353CC}">
                  <c16:uniqueId val="{00000003-A283-4720-8EF6-A790D63EAE82}"/>
                </c:ext>
              </c:extLst>
            </c:dLbl>
            <c:dLbl>
              <c:idx val="4"/>
              <c:delete val="1"/>
              <c:extLst>
                <c:ext xmlns:c15="http://schemas.microsoft.com/office/drawing/2012/chart" uri="{CE6537A1-D6FC-4f65-9D91-7224C49458BB}"/>
                <c:ext xmlns:c16="http://schemas.microsoft.com/office/drawing/2014/chart" uri="{C3380CC4-5D6E-409C-BE32-E72D297353CC}">
                  <c16:uniqueId val="{00000004-A283-4720-8EF6-A790D63EAE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1'!$AE$31:$AJ$31</c:f>
              <c:numCache>
                <c:formatCode>General</c:formatCode>
                <c:ptCount val="6"/>
                <c:pt idx="0">
                  <c:v>1.6</c:v>
                </c:pt>
                <c:pt idx="1">
                  <c:v>1.6</c:v>
                </c:pt>
                <c:pt idx="2">
                  <c:v>-1.6</c:v>
                </c:pt>
                <c:pt idx="3">
                  <c:v>-1.6</c:v>
                </c:pt>
                <c:pt idx="4">
                  <c:v>1.6</c:v>
                </c:pt>
                <c:pt idx="5">
                  <c:v>1.6</c:v>
                </c:pt>
              </c:numCache>
            </c:numRef>
          </c:xVal>
          <c:yVal>
            <c:numRef>
              <c:f>'Beispiel 1'!$V$32:$AA$32</c:f>
              <c:numCache>
                <c:formatCode>General</c:formatCode>
                <c:ptCount val="6"/>
                <c:pt idx="0">
                  <c:v>0</c:v>
                </c:pt>
                <c:pt idx="1">
                  <c:v>2.5</c:v>
                </c:pt>
                <c:pt idx="2">
                  <c:v>2.5</c:v>
                </c:pt>
                <c:pt idx="3">
                  <c:v>0</c:v>
                </c:pt>
                <c:pt idx="4">
                  <c:v>0</c:v>
                </c:pt>
                <c:pt idx="5">
                  <c:v>1.25</c:v>
                </c:pt>
              </c:numCache>
            </c:numRef>
          </c:yVal>
          <c:smooth val="0"/>
          <c:extLst>
            <c:ext xmlns:c16="http://schemas.microsoft.com/office/drawing/2014/chart" uri="{C3380CC4-5D6E-409C-BE32-E72D297353CC}">
              <c16:uniqueId val="{00000005-A283-4720-8EF6-A790D63EAE82}"/>
            </c:ext>
          </c:extLst>
        </c:ser>
        <c:ser>
          <c:idx val="1"/>
          <c:order val="1"/>
          <c:tx>
            <c:strRef>
              <c:f>'Beispiel 1'!$T$33</c:f>
              <c:strCache>
                <c:ptCount val="1"/>
                <c:pt idx="0">
                  <c:v>Wand 2</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A283-4720-8EF6-A790D63EAE82}"/>
                </c:ext>
              </c:extLst>
            </c:dLbl>
            <c:dLbl>
              <c:idx val="1"/>
              <c:delete val="1"/>
              <c:extLst>
                <c:ext xmlns:c15="http://schemas.microsoft.com/office/drawing/2012/chart" uri="{CE6537A1-D6FC-4f65-9D91-7224C49458BB}"/>
                <c:ext xmlns:c16="http://schemas.microsoft.com/office/drawing/2014/chart" uri="{C3380CC4-5D6E-409C-BE32-E72D297353CC}">
                  <c16:uniqueId val="{00000007-A283-4720-8EF6-A790D63EAE82}"/>
                </c:ext>
              </c:extLst>
            </c:dLbl>
            <c:dLbl>
              <c:idx val="2"/>
              <c:delete val="1"/>
              <c:extLst>
                <c:ext xmlns:c15="http://schemas.microsoft.com/office/drawing/2012/chart" uri="{CE6537A1-D6FC-4f65-9D91-7224C49458BB}"/>
                <c:ext xmlns:c16="http://schemas.microsoft.com/office/drawing/2014/chart" uri="{C3380CC4-5D6E-409C-BE32-E72D297353CC}">
                  <c16:uniqueId val="{00000008-A283-4720-8EF6-A790D63EAE82}"/>
                </c:ext>
              </c:extLst>
            </c:dLbl>
            <c:dLbl>
              <c:idx val="3"/>
              <c:delete val="1"/>
              <c:extLst>
                <c:ext xmlns:c15="http://schemas.microsoft.com/office/drawing/2012/chart" uri="{CE6537A1-D6FC-4f65-9D91-7224C49458BB}"/>
                <c:ext xmlns:c16="http://schemas.microsoft.com/office/drawing/2014/chart" uri="{C3380CC4-5D6E-409C-BE32-E72D297353CC}">
                  <c16:uniqueId val="{00000009-A283-4720-8EF6-A790D63EAE82}"/>
                </c:ext>
              </c:extLst>
            </c:dLbl>
            <c:dLbl>
              <c:idx val="4"/>
              <c:delete val="1"/>
              <c:extLst>
                <c:ext xmlns:c15="http://schemas.microsoft.com/office/drawing/2012/chart" uri="{CE6537A1-D6FC-4f65-9D91-7224C49458BB}"/>
                <c:ext xmlns:c16="http://schemas.microsoft.com/office/drawing/2014/chart" uri="{C3380CC4-5D6E-409C-BE32-E72D297353CC}">
                  <c16:uniqueId val="{0000000A-A283-4720-8EF6-A790D63EAE8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1'!$AE$33:$AJ$33</c:f>
              <c:numCache>
                <c:formatCode>General</c:formatCode>
                <c:ptCount val="6"/>
                <c:pt idx="0">
                  <c:v>1</c:v>
                </c:pt>
                <c:pt idx="1">
                  <c:v>1</c:v>
                </c:pt>
                <c:pt idx="2">
                  <c:v>-1</c:v>
                </c:pt>
                <c:pt idx="3">
                  <c:v>-1</c:v>
                </c:pt>
                <c:pt idx="4">
                  <c:v>1</c:v>
                </c:pt>
                <c:pt idx="5">
                  <c:v>1</c:v>
                </c:pt>
              </c:numCache>
            </c:numRef>
          </c:xVal>
          <c:yVal>
            <c:numRef>
              <c:f>'Beispiel 1'!$V$34:$AA$34</c:f>
              <c:numCache>
                <c:formatCode>General</c:formatCode>
                <c:ptCount val="6"/>
                <c:pt idx="0">
                  <c:v>2.7</c:v>
                </c:pt>
                <c:pt idx="1">
                  <c:v>5.3450000000000006</c:v>
                </c:pt>
                <c:pt idx="2">
                  <c:v>5.3450000000000006</c:v>
                </c:pt>
                <c:pt idx="3">
                  <c:v>2.7</c:v>
                </c:pt>
                <c:pt idx="4">
                  <c:v>2.7</c:v>
                </c:pt>
                <c:pt idx="5">
                  <c:v>4.0225</c:v>
                </c:pt>
              </c:numCache>
            </c:numRef>
          </c:yVal>
          <c:smooth val="0"/>
          <c:extLst>
            <c:ext xmlns:c16="http://schemas.microsoft.com/office/drawing/2014/chart" uri="{C3380CC4-5D6E-409C-BE32-E72D297353CC}">
              <c16:uniqueId val="{0000000B-A283-4720-8EF6-A790D63EAE82}"/>
            </c:ext>
          </c:extLst>
        </c:ser>
        <c:ser>
          <c:idx val="2"/>
          <c:order val="2"/>
          <c:tx>
            <c:strRef>
              <c:f>'Beispiel 1'!$T$35</c:f>
              <c:strCache>
                <c:ptCount val="1"/>
                <c:pt idx="0">
                  <c:v>Wand 3</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A283-4720-8EF6-A790D63EAE82}"/>
                </c:ext>
              </c:extLst>
            </c:dLbl>
            <c:dLbl>
              <c:idx val="1"/>
              <c:delete val="1"/>
              <c:extLst>
                <c:ext xmlns:c15="http://schemas.microsoft.com/office/drawing/2012/chart" uri="{CE6537A1-D6FC-4f65-9D91-7224C49458BB}"/>
                <c:ext xmlns:c16="http://schemas.microsoft.com/office/drawing/2014/chart" uri="{C3380CC4-5D6E-409C-BE32-E72D297353CC}">
                  <c16:uniqueId val="{0000000D-A283-4720-8EF6-A790D63EAE82}"/>
                </c:ext>
              </c:extLst>
            </c:dLbl>
            <c:dLbl>
              <c:idx val="2"/>
              <c:delete val="1"/>
              <c:extLst>
                <c:ext xmlns:c15="http://schemas.microsoft.com/office/drawing/2012/chart" uri="{CE6537A1-D6FC-4f65-9D91-7224C49458BB}"/>
                <c:ext xmlns:c16="http://schemas.microsoft.com/office/drawing/2014/chart" uri="{C3380CC4-5D6E-409C-BE32-E72D297353CC}">
                  <c16:uniqueId val="{0000000E-A283-4720-8EF6-A790D63EAE82}"/>
                </c:ext>
              </c:extLst>
            </c:dLbl>
            <c:dLbl>
              <c:idx val="3"/>
              <c:delete val="1"/>
              <c:extLst>
                <c:ext xmlns:c15="http://schemas.microsoft.com/office/drawing/2012/chart" uri="{CE6537A1-D6FC-4f65-9D91-7224C49458BB}"/>
                <c:ext xmlns:c16="http://schemas.microsoft.com/office/drawing/2014/chart" uri="{C3380CC4-5D6E-409C-BE32-E72D297353CC}">
                  <c16:uniqueId val="{0000000F-A283-4720-8EF6-A790D63EAE82}"/>
                </c:ext>
              </c:extLst>
            </c:dLbl>
            <c:dLbl>
              <c:idx val="4"/>
              <c:delete val="1"/>
              <c:extLst>
                <c:ext xmlns:c15="http://schemas.microsoft.com/office/drawing/2012/chart" uri="{CE6537A1-D6FC-4f65-9D91-7224C49458BB}"/>
                <c:ext xmlns:c16="http://schemas.microsoft.com/office/drawing/2014/chart" uri="{C3380CC4-5D6E-409C-BE32-E72D297353CC}">
                  <c16:uniqueId val="{00000010-A283-4720-8EF6-A790D63EAE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1'!$AE$35:$AJ$35</c:f>
              <c:numCache>
                <c:formatCode>General</c:formatCode>
                <c:ptCount val="6"/>
                <c:pt idx="0">
                  <c:v>1</c:v>
                </c:pt>
                <c:pt idx="1">
                  <c:v>1</c:v>
                </c:pt>
                <c:pt idx="2">
                  <c:v>-1</c:v>
                </c:pt>
                <c:pt idx="3">
                  <c:v>-1</c:v>
                </c:pt>
                <c:pt idx="4">
                  <c:v>1</c:v>
                </c:pt>
                <c:pt idx="5">
                  <c:v>1</c:v>
                </c:pt>
              </c:numCache>
            </c:numRef>
          </c:xVal>
          <c:yVal>
            <c:numRef>
              <c:f>'Beispiel 1'!$V$36:$AA$36</c:f>
              <c:numCache>
                <c:formatCode>General</c:formatCode>
                <c:ptCount val="6"/>
                <c:pt idx="0">
                  <c:v>5.5450000000000008</c:v>
                </c:pt>
                <c:pt idx="1">
                  <c:v>8.1900000000000013</c:v>
                </c:pt>
                <c:pt idx="2">
                  <c:v>8.1900000000000013</c:v>
                </c:pt>
                <c:pt idx="3">
                  <c:v>5.5450000000000008</c:v>
                </c:pt>
                <c:pt idx="4">
                  <c:v>5.5450000000000008</c:v>
                </c:pt>
                <c:pt idx="5">
                  <c:v>6.8675000000000006</c:v>
                </c:pt>
              </c:numCache>
            </c:numRef>
          </c:yVal>
          <c:smooth val="0"/>
          <c:extLst>
            <c:ext xmlns:c16="http://schemas.microsoft.com/office/drawing/2014/chart" uri="{C3380CC4-5D6E-409C-BE32-E72D297353CC}">
              <c16:uniqueId val="{00000011-A283-4720-8EF6-A790D63EAE82}"/>
            </c:ext>
          </c:extLst>
        </c:ser>
        <c:ser>
          <c:idx val="3"/>
          <c:order val="3"/>
          <c:tx>
            <c:strRef>
              <c:f>'Beispiel 1'!$T$38</c:f>
              <c:strCache>
                <c:ptCount val="1"/>
                <c:pt idx="0">
                  <c:v>Decke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2-A283-4720-8EF6-A790D63EAE82}"/>
                </c:ext>
              </c:extLst>
            </c:dLbl>
            <c:dLbl>
              <c:idx val="1"/>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A283-4720-8EF6-A790D63EAE82}"/>
                </c:ext>
              </c:extLst>
            </c:dLbl>
            <c:dLbl>
              <c:idx val="2"/>
              <c:delete val="1"/>
              <c:extLst>
                <c:ext xmlns:c15="http://schemas.microsoft.com/office/drawing/2012/chart" uri="{CE6537A1-D6FC-4f65-9D91-7224C49458BB}"/>
                <c:ext xmlns:c16="http://schemas.microsoft.com/office/drawing/2014/chart" uri="{C3380CC4-5D6E-409C-BE32-E72D297353CC}">
                  <c16:uniqueId val="{00000014-A283-4720-8EF6-A790D63EAE82}"/>
                </c:ext>
              </c:extLst>
            </c:dLbl>
            <c:dLbl>
              <c:idx val="3"/>
              <c:delete val="1"/>
              <c:extLst>
                <c:ext xmlns:c15="http://schemas.microsoft.com/office/drawing/2012/chart" uri="{CE6537A1-D6FC-4f65-9D91-7224C49458BB}"/>
                <c:ext xmlns:c16="http://schemas.microsoft.com/office/drawing/2014/chart" uri="{C3380CC4-5D6E-409C-BE32-E72D297353CC}">
                  <c16:uniqueId val="{00000015-A283-4720-8EF6-A790D63EAE82}"/>
                </c:ext>
              </c:extLst>
            </c:dLbl>
            <c:dLbl>
              <c:idx val="4"/>
              <c:delete val="1"/>
              <c:extLst>
                <c:ext xmlns:c15="http://schemas.microsoft.com/office/drawing/2012/chart" uri="{CE6537A1-D6FC-4f65-9D91-7224C49458BB}"/>
                <c:ext xmlns:c16="http://schemas.microsoft.com/office/drawing/2014/chart" uri="{C3380CC4-5D6E-409C-BE32-E72D297353CC}">
                  <c16:uniqueId val="{00000016-A283-4720-8EF6-A790D63EAE82}"/>
                </c:ext>
              </c:extLst>
            </c:dLbl>
            <c:dLbl>
              <c:idx val="5"/>
              <c:delete val="1"/>
              <c:extLst>
                <c:ext xmlns:c15="http://schemas.microsoft.com/office/drawing/2012/chart" uri="{CE6537A1-D6FC-4f65-9D91-7224C49458BB}"/>
                <c:ext xmlns:c16="http://schemas.microsoft.com/office/drawing/2014/chart" uri="{C3380CC4-5D6E-409C-BE32-E72D297353CC}">
                  <c16:uniqueId val="{00000017-A283-4720-8EF6-A790D63EAE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1'!$AE$38:$AJ$38</c:f>
              <c:numCache>
                <c:formatCode>General</c:formatCode>
                <c:ptCount val="6"/>
                <c:pt idx="0">
                  <c:v>-1.6</c:v>
                </c:pt>
                <c:pt idx="1">
                  <c:v>1.6</c:v>
                </c:pt>
                <c:pt idx="2">
                  <c:v>1.6</c:v>
                </c:pt>
                <c:pt idx="3">
                  <c:v>-1.6</c:v>
                </c:pt>
                <c:pt idx="4">
                  <c:v>-1.6</c:v>
                </c:pt>
                <c:pt idx="5">
                  <c:v>0.8</c:v>
                </c:pt>
              </c:numCache>
            </c:numRef>
          </c:xVal>
          <c:yVal>
            <c:numRef>
              <c:f>'Beispiel 1'!$AE$39:$AJ$39</c:f>
              <c:numCache>
                <c:formatCode>General</c:formatCode>
                <c:ptCount val="6"/>
                <c:pt idx="0">
                  <c:v>2.5</c:v>
                </c:pt>
                <c:pt idx="1">
                  <c:v>2.5</c:v>
                </c:pt>
                <c:pt idx="2">
                  <c:v>2.7</c:v>
                </c:pt>
                <c:pt idx="3">
                  <c:v>2.7</c:v>
                </c:pt>
                <c:pt idx="4">
                  <c:v>2.5</c:v>
                </c:pt>
                <c:pt idx="5">
                  <c:v>2.5</c:v>
                </c:pt>
              </c:numCache>
            </c:numRef>
          </c:yVal>
          <c:smooth val="0"/>
          <c:extLst>
            <c:ext xmlns:c16="http://schemas.microsoft.com/office/drawing/2014/chart" uri="{C3380CC4-5D6E-409C-BE32-E72D297353CC}">
              <c16:uniqueId val="{00000018-A283-4720-8EF6-A790D63EAE82}"/>
            </c:ext>
          </c:extLst>
        </c:ser>
        <c:ser>
          <c:idx val="4"/>
          <c:order val="4"/>
          <c:tx>
            <c:strRef>
              <c:f>'Beispiel 1'!$T$40</c:f>
              <c:strCache>
                <c:ptCount val="1"/>
                <c:pt idx="0">
                  <c:v>Decke 2</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9-A283-4720-8EF6-A790D63EAE82}"/>
                </c:ext>
              </c:extLst>
            </c:dLbl>
            <c:dLbl>
              <c:idx val="1"/>
              <c:delete val="1"/>
              <c:extLst>
                <c:ext xmlns:c15="http://schemas.microsoft.com/office/drawing/2012/chart" uri="{CE6537A1-D6FC-4f65-9D91-7224C49458BB}"/>
                <c:ext xmlns:c16="http://schemas.microsoft.com/office/drawing/2014/chart" uri="{C3380CC4-5D6E-409C-BE32-E72D297353CC}">
                  <c16:uniqueId val="{0000001A-A283-4720-8EF6-A790D63EAE82}"/>
                </c:ext>
              </c:extLst>
            </c:dLbl>
            <c:dLbl>
              <c:idx val="2"/>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A283-4720-8EF6-A790D63EAE82}"/>
                </c:ext>
              </c:extLst>
            </c:dLbl>
            <c:dLbl>
              <c:idx val="3"/>
              <c:delete val="1"/>
              <c:extLst>
                <c:ext xmlns:c15="http://schemas.microsoft.com/office/drawing/2012/chart" uri="{CE6537A1-D6FC-4f65-9D91-7224C49458BB}"/>
                <c:ext xmlns:c16="http://schemas.microsoft.com/office/drawing/2014/chart" uri="{C3380CC4-5D6E-409C-BE32-E72D297353CC}">
                  <c16:uniqueId val="{0000001C-A283-4720-8EF6-A790D63EAE82}"/>
                </c:ext>
              </c:extLst>
            </c:dLbl>
            <c:dLbl>
              <c:idx val="4"/>
              <c:delete val="1"/>
              <c:extLst>
                <c:ext xmlns:c15="http://schemas.microsoft.com/office/drawing/2012/chart" uri="{CE6537A1-D6FC-4f65-9D91-7224C49458BB}"/>
                <c:ext xmlns:c16="http://schemas.microsoft.com/office/drawing/2014/chart" uri="{C3380CC4-5D6E-409C-BE32-E72D297353CC}">
                  <c16:uniqueId val="{0000001D-A283-4720-8EF6-A790D63EAE82}"/>
                </c:ext>
              </c:extLst>
            </c:dLbl>
            <c:dLbl>
              <c:idx val="5"/>
              <c:delete val="1"/>
              <c:extLst>
                <c:ext xmlns:c15="http://schemas.microsoft.com/office/drawing/2012/chart" uri="{CE6537A1-D6FC-4f65-9D91-7224C49458BB}"/>
                <c:ext xmlns:c16="http://schemas.microsoft.com/office/drawing/2014/chart" uri="{C3380CC4-5D6E-409C-BE32-E72D297353CC}">
                  <c16:uniqueId val="{0000001E-A283-4720-8EF6-A790D63EAE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1'!$AE$40:$AJ$40</c:f>
              <c:numCache>
                <c:formatCode>General</c:formatCode>
                <c:ptCount val="6"/>
                <c:pt idx="0">
                  <c:v>-1.6</c:v>
                </c:pt>
                <c:pt idx="1">
                  <c:v>1.6</c:v>
                </c:pt>
                <c:pt idx="2">
                  <c:v>1.6</c:v>
                </c:pt>
                <c:pt idx="3">
                  <c:v>-1.6</c:v>
                </c:pt>
                <c:pt idx="4">
                  <c:v>-1.6</c:v>
                </c:pt>
                <c:pt idx="5">
                  <c:v>0.5</c:v>
                </c:pt>
              </c:numCache>
            </c:numRef>
          </c:xVal>
          <c:yVal>
            <c:numRef>
              <c:f>'Beispiel 1'!$AE$41:$AJ$41</c:f>
              <c:numCache>
                <c:formatCode>General</c:formatCode>
                <c:ptCount val="6"/>
                <c:pt idx="0">
                  <c:v>5.3450000000000006</c:v>
                </c:pt>
                <c:pt idx="1">
                  <c:v>5.3450000000000006</c:v>
                </c:pt>
                <c:pt idx="2">
                  <c:v>5.5450000000000008</c:v>
                </c:pt>
                <c:pt idx="3">
                  <c:v>5.5450000000000008</c:v>
                </c:pt>
                <c:pt idx="4">
                  <c:v>5.3450000000000006</c:v>
                </c:pt>
                <c:pt idx="5">
                  <c:v>5.3450000000000006</c:v>
                </c:pt>
              </c:numCache>
            </c:numRef>
          </c:yVal>
          <c:smooth val="0"/>
          <c:extLst>
            <c:ext xmlns:c16="http://schemas.microsoft.com/office/drawing/2014/chart" uri="{C3380CC4-5D6E-409C-BE32-E72D297353CC}">
              <c16:uniqueId val="{0000001F-A283-4720-8EF6-A790D63EAE82}"/>
            </c:ext>
          </c:extLst>
        </c:ser>
        <c:ser>
          <c:idx val="11"/>
          <c:order val="5"/>
          <c:tx>
            <c:strRef>
              <c:f>'Beispiel 1'!$T$46</c:f>
              <c:strCache>
                <c:ptCount val="1"/>
                <c:pt idx="0">
                  <c:v>Outline</c:v>
                </c:pt>
              </c:strCache>
            </c:strRef>
          </c:tx>
          <c:spPr>
            <a:ln w="19050" cap="rnd">
              <a:noFill/>
              <a:round/>
            </a:ln>
            <a:effectLst/>
          </c:spPr>
          <c:marker>
            <c:symbol val="none"/>
          </c:marker>
          <c:dLbls>
            <c:delete val="1"/>
          </c:dLbls>
          <c:xVal>
            <c:numRef>
              <c:f>'Beispiel 1'!$AE$46:$AF$46</c:f>
              <c:numCache>
                <c:formatCode>General</c:formatCode>
                <c:ptCount val="2"/>
                <c:pt idx="0">
                  <c:v>9.0090000000000021</c:v>
                </c:pt>
                <c:pt idx="1">
                  <c:v>-9.0090000000000021</c:v>
                </c:pt>
              </c:numCache>
            </c:numRef>
          </c:xVal>
          <c:yVal>
            <c:numRef>
              <c:f>'Beispiel 1'!$AE$47:$AF$47</c:f>
              <c:numCache>
                <c:formatCode>General</c:formatCode>
                <c:ptCount val="2"/>
                <c:pt idx="0">
                  <c:v>9.0090000000000021</c:v>
                </c:pt>
                <c:pt idx="1">
                  <c:v>9.0090000000000021</c:v>
                </c:pt>
              </c:numCache>
            </c:numRef>
          </c:yVal>
          <c:smooth val="0"/>
          <c:extLst>
            <c:ext xmlns:c16="http://schemas.microsoft.com/office/drawing/2014/chart" uri="{C3380CC4-5D6E-409C-BE32-E72D297353CC}">
              <c16:uniqueId val="{00000020-A283-4720-8EF6-A790D63EAE82}"/>
            </c:ext>
          </c:extLst>
        </c:ser>
        <c:ser>
          <c:idx val="5"/>
          <c:order val="6"/>
          <c:tx>
            <c:strRef>
              <c:f>'Beispiel 1'!$AD$50</c:f>
              <c:strCache>
                <c:ptCount val="1"/>
                <c:pt idx="0">
                  <c:v>Fixed edges</c:v>
                </c:pt>
              </c:strCache>
            </c:strRef>
          </c:tx>
          <c:spPr>
            <a:ln w="34925" cap="rnd">
              <a:solidFill>
                <a:srgbClr val="C00000"/>
              </a:solidFill>
              <a:prstDash val="sysDash"/>
              <a:round/>
            </a:ln>
            <a:effectLst/>
          </c:spPr>
          <c:marker>
            <c:symbol val="none"/>
          </c:marker>
          <c:dLbls>
            <c:delete val="1"/>
          </c:dLbls>
          <c:xVal>
            <c:numRef>
              <c:f>'Beispiel 1'!$AE$51:$AF$51</c:f>
              <c:numCache>
                <c:formatCode>General</c:formatCode>
                <c:ptCount val="2"/>
                <c:pt idx="0">
                  <c:v>0</c:v>
                </c:pt>
                <c:pt idx="1">
                  <c:v>0</c:v>
                </c:pt>
              </c:numCache>
            </c:numRef>
          </c:xVal>
          <c:yVal>
            <c:numRef>
              <c:f>'Beispiel 1'!$AE$52:$AF$52</c:f>
              <c:numCache>
                <c:formatCode>General</c:formatCode>
                <c:ptCount val="2"/>
                <c:pt idx="0">
                  <c:v>0</c:v>
                </c:pt>
                <c:pt idx="1">
                  <c:v>0</c:v>
                </c:pt>
              </c:numCache>
            </c:numRef>
          </c:yVal>
          <c:smooth val="0"/>
          <c:extLst>
            <c:ext xmlns:c16="http://schemas.microsoft.com/office/drawing/2014/chart" uri="{C3380CC4-5D6E-409C-BE32-E72D297353CC}">
              <c16:uniqueId val="{00000021-A283-4720-8EF6-A790D63EAE82}"/>
            </c:ext>
          </c:extLst>
        </c:ser>
        <c:ser>
          <c:idx val="6"/>
          <c:order val="7"/>
          <c:tx>
            <c:strRef>
              <c:f>'Beispiel 1'!$AD$50</c:f>
              <c:strCache>
                <c:ptCount val="1"/>
                <c:pt idx="0">
                  <c:v>Fixed edges</c:v>
                </c:pt>
              </c:strCache>
            </c:strRef>
          </c:tx>
          <c:spPr>
            <a:ln w="34925" cap="rnd">
              <a:solidFill>
                <a:srgbClr val="C00000"/>
              </a:solidFill>
              <a:prstDash val="sysDash"/>
              <a:round/>
            </a:ln>
            <a:effectLst/>
          </c:spPr>
          <c:marker>
            <c:symbol val="none"/>
          </c:marker>
          <c:dLbls>
            <c:delete val="1"/>
          </c:dLbls>
          <c:xVal>
            <c:numRef>
              <c:f>'Beispiel 1'!$AE$53:$AF$53</c:f>
              <c:numCache>
                <c:formatCode>General</c:formatCode>
                <c:ptCount val="2"/>
                <c:pt idx="0">
                  <c:v>0</c:v>
                </c:pt>
                <c:pt idx="1">
                  <c:v>0</c:v>
                </c:pt>
              </c:numCache>
            </c:numRef>
          </c:xVal>
          <c:yVal>
            <c:numRef>
              <c:f>'Beispiel 1'!$AE$54:$AF$54</c:f>
              <c:numCache>
                <c:formatCode>General</c:formatCode>
                <c:ptCount val="2"/>
                <c:pt idx="0">
                  <c:v>0</c:v>
                </c:pt>
                <c:pt idx="1">
                  <c:v>0</c:v>
                </c:pt>
              </c:numCache>
            </c:numRef>
          </c:yVal>
          <c:smooth val="0"/>
          <c:extLst>
            <c:ext xmlns:c16="http://schemas.microsoft.com/office/drawing/2014/chart" uri="{C3380CC4-5D6E-409C-BE32-E72D297353CC}">
              <c16:uniqueId val="{00000022-A283-4720-8EF6-A790D63EAE82}"/>
            </c:ext>
          </c:extLst>
        </c:ser>
        <c:dLbls>
          <c:showLegendKey val="0"/>
          <c:showVal val="1"/>
          <c:showCatName val="0"/>
          <c:showSerName val="0"/>
          <c:showPercent val="0"/>
          <c:showBubbleSize val="0"/>
        </c:dLbls>
        <c:axId val="471502576"/>
        <c:axId val="471506104"/>
      </c:scatterChart>
      <c:valAx>
        <c:axId val="471502576"/>
        <c:scaling>
          <c:orientation val="minMax"/>
        </c:scaling>
        <c:delete val="0"/>
        <c:axPos val="b"/>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6104"/>
        <c:crosses val="autoZero"/>
        <c:crossBetween val="midCat"/>
        <c:majorUnit val="2"/>
      </c:valAx>
      <c:valAx>
        <c:axId val="471506104"/>
        <c:scaling>
          <c:orientation val="minMax"/>
          <c:min val="0"/>
        </c:scaling>
        <c:delete val="0"/>
        <c:axPos val="l"/>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2576"/>
        <c:crosses val="autoZero"/>
        <c:crossBetween val="midCat"/>
        <c:majorUnit val="2"/>
      </c:valAx>
      <c:spPr>
        <a:noFill/>
        <a:ln w="25400">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645138888888887E-2"/>
          <c:y val="4.8506944444444443E-2"/>
          <c:w val="0.87078402777777775"/>
          <c:h val="0.77683159722222206"/>
        </c:manualLayout>
      </c:layout>
      <c:scatterChart>
        <c:scatterStyle val="lineMarker"/>
        <c:varyColors val="0"/>
        <c:ser>
          <c:idx val="1"/>
          <c:order val="0"/>
          <c:tx>
            <c:strRef>
              <c:f>'Beispiel 1'!$X$80</c:f>
              <c:strCache>
                <c:ptCount val="1"/>
                <c:pt idx="0">
                  <c:v>Outline</c:v>
                </c:pt>
              </c:strCache>
            </c:strRef>
          </c:tx>
          <c:spPr>
            <a:ln w="25400" cap="rnd">
              <a:noFill/>
              <a:round/>
            </a:ln>
            <a:effectLst/>
          </c:spPr>
          <c:marker>
            <c:symbol val="none"/>
          </c:marker>
          <c:xVal>
            <c:numRef>
              <c:f>'Beispiel 1'!$Z$80:$AA$80</c:f>
              <c:numCache>
                <c:formatCode>0.00</c:formatCode>
                <c:ptCount val="2"/>
                <c:pt idx="0">
                  <c:v>0.77236115999999999</c:v>
                </c:pt>
                <c:pt idx="1">
                  <c:v>-0.77236115999999999</c:v>
                </c:pt>
              </c:numCache>
            </c:numRef>
          </c:xVal>
          <c:yVal>
            <c:numRef>
              <c:f>'Beispiel 1'!$Z$81:$AA$81</c:f>
              <c:numCache>
                <c:formatCode>0.00</c:formatCode>
                <c:ptCount val="2"/>
                <c:pt idx="0">
                  <c:v>2.645</c:v>
                </c:pt>
                <c:pt idx="1">
                  <c:v>2.645</c:v>
                </c:pt>
              </c:numCache>
            </c:numRef>
          </c:yVal>
          <c:smooth val="0"/>
          <c:extLst>
            <c:ext xmlns:c16="http://schemas.microsoft.com/office/drawing/2014/chart" uri="{C3380CC4-5D6E-409C-BE32-E72D297353CC}">
              <c16:uniqueId val="{00000000-3479-4044-A929-1DDB54F1D1F7}"/>
            </c:ext>
          </c:extLst>
        </c:ser>
        <c:ser>
          <c:idx val="2"/>
          <c:order val="1"/>
          <c:tx>
            <c:strRef>
              <c:f>'Beispiel 1'!$T$70</c:f>
              <c:strCache>
                <c:ptCount val="1"/>
                <c:pt idx="0">
                  <c:v>Wall</c:v>
                </c:pt>
              </c:strCache>
            </c:strRef>
          </c:tx>
          <c:spPr>
            <a:ln w="19050" cap="rnd">
              <a:solidFill>
                <a:sysClr val="windowText" lastClr="000000"/>
              </a:solidFill>
              <a:round/>
            </a:ln>
            <a:effectLst/>
          </c:spPr>
          <c:marker>
            <c:symbol val="none"/>
          </c:marker>
          <c:xVal>
            <c:numRef>
              <c:f>'Beispiel 1'!$V$70:$W$70</c:f>
              <c:numCache>
                <c:formatCode>0.00</c:formatCode>
                <c:ptCount val="2"/>
                <c:pt idx="0">
                  <c:v>0</c:v>
                </c:pt>
                <c:pt idx="1">
                  <c:v>0</c:v>
                </c:pt>
              </c:numCache>
            </c:numRef>
          </c:xVal>
          <c:yVal>
            <c:numRef>
              <c:f>'Beispiel 1'!$V$71:$W$71</c:f>
              <c:numCache>
                <c:formatCode>0.00</c:formatCode>
                <c:ptCount val="2"/>
                <c:pt idx="0">
                  <c:v>0</c:v>
                </c:pt>
                <c:pt idx="1">
                  <c:v>2.645</c:v>
                </c:pt>
              </c:numCache>
            </c:numRef>
          </c:yVal>
          <c:smooth val="0"/>
          <c:extLst>
            <c:ext xmlns:c16="http://schemas.microsoft.com/office/drawing/2014/chart" uri="{C3380CC4-5D6E-409C-BE32-E72D297353CC}">
              <c16:uniqueId val="{00000001-3479-4044-A929-1DDB54F1D1F7}"/>
            </c:ext>
          </c:extLst>
        </c:ser>
        <c:ser>
          <c:idx val="0"/>
          <c:order val="2"/>
          <c:tx>
            <c:strRef>
              <c:f>'Beispiel 1'!$T$63</c:f>
              <c:strCache>
                <c:ptCount val="1"/>
                <c:pt idx="0">
                  <c:v>Slab rotation</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2-3479-4044-A929-1DDB54F1D1F7}"/>
                </c:ext>
              </c:extLst>
            </c:dLbl>
            <c:dLbl>
              <c:idx val="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extLst>
                <c:ext xmlns:c16="http://schemas.microsoft.com/office/drawing/2014/chart" uri="{C3380CC4-5D6E-409C-BE32-E72D297353CC}">
                  <c16:uniqueId val="{00000003-3479-4044-A929-1DDB54F1D1F7}"/>
                </c:ext>
              </c:extLst>
            </c:dLbl>
            <c:dLbl>
              <c:idx val="2"/>
              <c:delete val="1"/>
              <c:extLst>
                <c:ext xmlns:c15="http://schemas.microsoft.com/office/drawing/2012/chart" uri="{CE6537A1-D6FC-4f65-9D91-7224C49458BB}"/>
                <c:ext xmlns:c16="http://schemas.microsoft.com/office/drawing/2014/chart" uri="{C3380CC4-5D6E-409C-BE32-E72D297353CC}">
                  <c16:uniqueId val="{00000004-3479-4044-A929-1DDB54F1D1F7}"/>
                </c:ext>
              </c:extLst>
            </c:dLbl>
            <c:dLbl>
              <c:idx val="3"/>
              <c:delete val="1"/>
              <c:extLst>
                <c:ext xmlns:c15="http://schemas.microsoft.com/office/drawing/2012/chart" uri="{CE6537A1-D6FC-4f65-9D91-7224C49458BB}"/>
                <c:ext xmlns:c16="http://schemas.microsoft.com/office/drawing/2014/chart" uri="{C3380CC4-5D6E-409C-BE32-E72D297353CC}">
                  <c16:uniqueId val="{00000005-3479-4044-A929-1DDB54F1D1F7}"/>
                </c:ext>
              </c:extLst>
            </c:dLbl>
            <c:dLbl>
              <c:idx val="4"/>
              <c:delete val="1"/>
              <c:extLst>
                <c:ext xmlns:c15="http://schemas.microsoft.com/office/drawing/2012/chart" uri="{CE6537A1-D6FC-4f65-9D91-7224C49458BB}"/>
                <c:ext xmlns:c16="http://schemas.microsoft.com/office/drawing/2014/chart" uri="{C3380CC4-5D6E-409C-BE32-E72D297353CC}">
                  <c16:uniqueId val="{00000006-3479-4044-A929-1DDB54F1D1F7}"/>
                </c:ext>
              </c:extLst>
            </c:dLbl>
            <c:dLbl>
              <c:idx val="5"/>
              <c:delete val="1"/>
              <c:extLst>
                <c:ext xmlns:c15="http://schemas.microsoft.com/office/drawing/2012/chart" uri="{CE6537A1-D6FC-4f65-9D91-7224C49458BB}"/>
                <c:ext xmlns:c16="http://schemas.microsoft.com/office/drawing/2014/chart" uri="{C3380CC4-5D6E-409C-BE32-E72D297353CC}">
                  <c16:uniqueId val="{00000007-3479-4044-A929-1DDB54F1D1F7}"/>
                </c:ext>
              </c:extLst>
            </c:dLbl>
            <c:dLbl>
              <c:idx val="6"/>
              <c:delete val="1"/>
              <c:extLst>
                <c:ext xmlns:c15="http://schemas.microsoft.com/office/drawing/2012/chart" uri="{CE6537A1-D6FC-4f65-9D91-7224C49458BB}"/>
                <c:ext xmlns:c16="http://schemas.microsoft.com/office/drawing/2014/chart" uri="{C3380CC4-5D6E-409C-BE32-E72D297353CC}">
                  <c16:uniqueId val="{00000008-3479-4044-A929-1DDB54F1D1F7}"/>
                </c:ext>
              </c:extLst>
            </c:dLbl>
            <c:dLbl>
              <c:idx val="7"/>
              <c:delete val="1"/>
              <c:extLst>
                <c:ext xmlns:c15="http://schemas.microsoft.com/office/drawing/2012/chart" uri="{CE6537A1-D6FC-4f65-9D91-7224C49458BB}"/>
                <c:ext xmlns:c16="http://schemas.microsoft.com/office/drawing/2014/chart" uri="{C3380CC4-5D6E-409C-BE32-E72D297353CC}">
                  <c16:uniqueId val="{00000009-3479-4044-A929-1DDB54F1D1F7}"/>
                </c:ext>
              </c:extLst>
            </c:dLbl>
            <c:dLbl>
              <c:idx val="8"/>
              <c:delete val="1"/>
              <c:extLst>
                <c:ext xmlns:c15="http://schemas.microsoft.com/office/drawing/2012/chart" uri="{CE6537A1-D6FC-4f65-9D91-7224C49458BB}"/>
                <c:ext xmlns:c16="http://schemas.microsoft.com/office/drawing/2014/chart" uri="{C3380CC4-5D6E-409C-BE32-E72D297353CC}">
                  <c16:uniqueId val="{0000000A-3479-4044-A929-1DDB54F1D1F7}"/>
                </c:ext>
              </c:extLst>
            </c:dLbl>
            <c:dLbl>
              <c:idx val="9"/>
              <c:delete val="1"/>
              <c:extLst>
                <c:ext xmlns:c15="http://schemas.microsoft.com/office/drawing/2012/chart" uri="{CE6537A1-D6FC-4f65-9D91-7224C49458BB}"/>
                <c:ext xmlns:c16="http://schemas.microsoft.com/office/drawing/2014/chart" uri="{C3380CC4-5D6E-409C-BE32-E72D297353CC}">
                  <c16:uniqueId val="{0000000B-3479-4044-A929-1DDB54F1D1F7}"/>
                </c:ext>
              </c:extLst>
            </c:dLbl>
            <c:dLbl>
              <c:idx val="10"/>
              <c:delete val="1"/>
              <c:extLst>
                <c:ext xmlns:c15="http://schemas.microsoft.com/office/drawing/2012/chart" uri="{CE6537A1-D6FC-4f65-9D91-7224C49458BB}"/>
                <c:ext xmlns:c16="http://schemas.microsoft.com/office/drawing/2014/chart" uri="{C3380CC4-5D6E-409C-BE32-E72D297353CC}">
                  <c16:uniqueId val="{0000000C-3479-4044-A929-1DDB54F1D1F7}"/>
                </c:ext>
              </c:extLst>
            </c:dLbl>
            <c:dLbl>
              <c:idx val="1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479-4044-A929-1DDB54F1D1F7}"/>
                </c:ext>
              </c:extLst>
            </c:dLbl>
            <c:dLbl>
              <c:idx val="12"/>
              <c:delete val="1"/>
              <c:extLst>
                <c:ext xmlns:c15="http://schemas.microsoft.com/office/drawing/2012/chart" uri="{CE6537A1-D6FC-4f65-9D91-7224C49458BB}"/>
                <c:ext xmlns:c16="http://schemas.microsoft.com/office/drawing/2014/chart" uri="{C3380CC4-5D6E-409C-BE32-E72D297353CC}">
                  <c16:uniqueId val="{0000000E-3479-4044-A929-1DDB54F1D1F7}"/>
                </c:ext>
              </c:extLst>
            </c:dLbl>
            <c:dLbl>
              <c:idx val="13"/>
              <c:delete val="1"/>
              <c:extLst>
                <c:ext xmlns:c15="http://schemas.microsoft.com/office/drawing/2012/chart" uri="{CE6537A1-D6FC-4f65-9D91-7224C49458BB}"/>
                <c:ext xmlns:c16="http://schemas.microsoft.com/office/drawing/2014/chart" uri="{C3380CC4-5D6E-409C-BE32-E72D297353CC}">
                  <c16:uniqueId val="{0000000F-3479-4044-A929-1DDB54F1D1F7}"/>
                </c:ext>
              </c:extLst>
            </c:dLbl>
            <c:dLbl>
              <c:idx val="14"/>
              <c:delete val="1"/>
              <c:extLst>
                <c:ext xmlns:c15="http://schemas.microsoft.com/office/drawing/2012/chart" uri="{CE6537A1-D6FC-4f65-9D91-7224C49458BB}"/>
                <c:ext xmlns:c16="http://schemas.microsoft.com/office/drawing/2014/chart" uri="{C3380CC4-5D6E-409C-BE32-E72D297353CC}">
                  <c16:uniqueId val="{00000010-3479-4044-A929-1DDB54F1D1F7}"/>
                </c:ext>
              </c:extLst>
            </c:dLbl>
            <c:dLbl>
              <c:idx val="15"/>
              <c:delete val="1"/>
              <c:extLst>
                <c:ext xmlns:c15="http://schemas.microsoft.com/office/drawing/2012/chart" uri="{CE6537A1-D6FC-4f65-9D91-7224C49458BB}"/>
                <c:ext xmlns:c16="http://schemas.microsoft.com/office/drawing/2014/chart" uri="{C3380CC4-5D6E-409C-BE32-E72D297353CC}">
                  <c16:uniqueId val="{00000011-3479-4044-A929-1DDB54F1D1F7}"/>
                </c:ext>
              </c:extLst>
            </c:dLbl>
            <c:dLbl>
              <c:idx val="16"/>
              <c:delete val="1"/>
              <c:extLst>
                <c:ext xmlns:c15="http://schemas.microsoft.com/office/drawing/2012/chart" uri="{CE6537A1-D6FC-4f65-9D91-7224C49458BB}"/>
                <c:ext xmlns:c16="http://schemas.microsoft.com/office/drawing/2014/chart" uri="{C3380CC4-5D6E-409C-BE32-E72D297353CC}">
                  <c16:uniqueId val="{00000012-3479-4044-A929-1DDB54F1D1F7}"/>
                </c:ext>
              </c:extLst>
            </c:dLbl>
            <c:dLbl>
              <c:idx val="17"/>
              <c:delete val="1"/>
              <c:extLst>
                <c:ext xmlns:c15="http://schemas.microsoft.com/office/drawing/2012/chart" uri="{CE6537A1-D6FC-4f65-9D91-7224C49458BB}"/>
                <c:ext xmlns:c16="http://schemas.microsoft.com/office/drawing/2014/chart" uri="{C3380CC4-5D6E-409C-BE32-E72D297353CC}">
                  <c16:uniqueId val="{00000013-3479-4044-A929-1DDB54F1D1F7}"/>
                </c:ext>
              </c:extLst>
            </c:dLbl>
            <c:dLbl>
              <c:idx val="18"/>
              <c:delete val="1"/>
              <c:extLst>
                <c:ext xmlns:c15="http://schemas.microsoft.com/office/drawing/2012/chart" uri="{CE6537A1-D6FC-4f65-9D91-7224C49458BB}"/>
                <c:ext xmlns:c16="http://schemas.microsoft.com/office/drawing/2014/chart" uri="{C3380CC4-5D6E-409C-BE32-E72D297353CC}">
                  <c16:uniqueId val="{00000014-3479-4044-A929-1DDB54F1D1F7}"/>
                </c:ext>
              </c:extLst>
            </c:dLbl>
            <c:dLbl>
              <c:idx val="19"/>
              <c:delete val="1"/>
              <c:extLst>
                <c:ext xmlns:c15="http://schemas.microsoft.com/office/drawing/2012/chart" uri="{CE6537A1-D6FC-4f65-9D91-7224C49458BB}"/>
                <c:ext xmlns:c16="http://schemas.microsoft.com/office/drawing/2014/chart" uri="{C3380CC4-5D6E-409C-BE32-E72D297353CC}">
                  <c16:uniqueId val="{00000015-3479-4044-A929-1DDB54F1D1F7}"/>
                </c:ext>
              </c:extLst>
            </c:dLbl>
            <c:dLbl>
              <c:idx val="20"/>
              <c:delete val="1"/>
              <c:extLst>
                <c:ext xmlns:c15="http://schemas.microsoft.com/office/drawing/2012/chart" uri="{CE6537A1-D6FC-4f65-9D91-7224C49458BB}"/>
                <c:ext xmlns:c16="http://schemas.microsoft.com/office/drawing/2014/chart" uri="{C3380CC4-5D6E-409C-BE32-E72D297353CC}">
                  <c16:uniqueId val="{00000016-3479-4044-A929-1DDB54F1D1F7}"/>
                </c:ext>
              </c:extLst>
            </c:dLbl>
            <c:dLbl>
              <c:idx val="2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extLst>
                <c:ext xmlns:c16="http://schemas.microsoft.com/office/drawing/2014/chart" uri="{C3380CC4-5D6E-409C-BE32-E72D297353CC}">
                  <c16:uniqueId val="{00000017-3479-4044-A929-1DDB54F1D1F7}"/>
                </c:ext>
              </c:extLst>
            </c:dLbl>
            <c:dLbl>
              <c:idx val="22"/>
              <c:delete val="1"/>
              <c:extLst>
                <c:ext xmlns:c15="http://schemas.microsoft.com/office/drawing/2012/chart" uri="{CE6537A1-D6FC-4f65-9D91-7224C49458BB}"/>
                <c:ext xmlns:c16="http://schemas.microsoft.com/office/drawing/2014/chart" uri="{C3380CC4-5D6E-409C-BE32-E72D297353CC}">
                  <c16:uniqueId val="{00000018-3479-4044-A929-1DDB54F1D1F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1'!$AD$61:$AD$83</c:f>
              <c:numCache>
                <c:formatCode>General</c:formatCode>
                <c:ptCount val="23"/>
                <c:pt idx="0">
                  <c:v>0</c:v>
                </c:pt>
                <c:pt idx="1">
                  <c:v>-0.67161840000000006</c:v>
                </c:pt>
                <c:pt idx="2">
                  <c:v>-0.41640340800000009</c:v>
                </c:pt>
                <c:pt idx="3">
                  <c:v>-0.188053152</c:v>
                </c:pt>
                <c:pt idx="4">
                  <c:v>1.3432368000000028E-2</c:v>
                </c:pt>
                <c:pt idx="5">
                  <c:v>0.18805315199999995</c:v>
                </c:pt>
                <c:pt idx="6">
                  <c:v>0.33580920000000014</c:v>
                </c:pt>
                <c:pt idx="7">
                  <c:v>0.45670051199999984</c:v>
                </c:pt>
                <c:pt idx="8">
                  <c:v>0.55072708799999992</c:v>
                </c:pt>
                <c:pt idx="9">
                  <c:v>0.61788892799999995</c:v>
                </c:pt>
                <c:pt idx="10">
                  <c:v>0.65818603199999992</c:v>
                </c:pt>
                <c:pt idx="11">
                  <c:v>0.67161840000000006</c:v>
                </c:pt>
                <c:pt idx="12">
                  <c:v>0.65818603199999992</c:v>
                </c:pt>
                <c:pt idx="13">
                  <c:v>0.61788892799999995</c:v>
                </c:pt>
                <c:pt idx="14">
                  <c:v>0.55072708799999948</c:v>
                </c:pt>
                <c:pt idx="15">
                  <c:v>0.45670051199999984</c:v>
                </c:pt>
                <c:pt idx="16">
                  <c:v>0.33580920000000014</c:v>
                </c:pt>
                <c:pt idx="17">
                  <c:v>0.18805315199999995</c:v>
                </c:pt>
                <c:pt idx="18">
                  <c:v>1.3432368000000472E-2</c:v>
                </c:pt>
                <c:pt idx="19">
                  <c:v>-0.18805315200000017</c:v>
                </c:pt>
                <c:pt idx="20">
                  <c:v>-0.41640340800000059</c:v>
                </c:pt>
                <c:pt idx="21">
                  <c:v>-0.67161840000000006</c:v>
                </c:pt>
                <c:pt idx="22">
                  <c:v>0</c:v>
                </c:pt>
              </c:numCache>
            </c:numRef>
          </c:xVal>
          <c:yVal>
            <c:numRef>
              <c:f>'Beispiel 1'!$AE$61:$AE$83</c:f>
              <c:numCache>
                <c:formatCode>General</c:formatCode>
                <c:ptCount val="23"/>
                <c:pt idx="0">
                  <c:v>0</c:v>
                </c:pt>
                <c:pt idx="1">
                  <c:v>0</c:v>
                </c:pt>
                <c:pt idx="2">
                  <c:v>0.13225000000000001</c:v>
                </c:pt>
                <c:pt idx="3">
                  <c:v>0.26450000000000001</c:v>
                </c:pt>
                <c:pt idx="4">
                  <c:v>0.39675000000000005</c:v>
                </c:pt>
                <c:pt idx="5">
                  <c:v>0.52900000000000003</c:v>
                </c:pt>
                <c:pt idx="6">
                  <c:v>0.66125</c:v>
                </c:pt>
                <c:pt idx="7">
                  <c:v>0.79350000000000009</c:v>
                </c:pt>
                <c:pt idx="8">
                  <c:v>0.92575000000000007</c:v>
                </c:pt>
                <c:pt idx="9">
                  <c:v>1.0580000000000001</c:v>
                </c:pt>
                <c:pt idx="10">
                  <c:v>1.19025</c:v>
                </c:pt>
                <c:pt idx="11">
                  <c:v>1.3225</c:v>
                </c:pt>
                <c:pt idx="12">
                  <c:v>1.45475</c:v>
                </c:pt>
                <c:pt idx="13">
                  <c:v>1.5870000000000002</c:v>
                </c:pt>
                <c:pt idx="14">
                  <c:v>1.7192499999999999</c:v>
                </c:pt>
                <c:pt idx="15">
                  <c:v>1.8515000000000001</c:v>
                </c:pt>
                <c:pt idx="16">
                  <c:v>1.9837499999999999</c:v>
                </c:pt>
                <c:pt idx="17">
                  <c:v>2.1160000000000001</c:v>
                </c:pt>
                <c:pt idx="18">
                  <c:v>2.2482500000000001</c:v>
                </c:pt>
                <c:pt idx="19">
                  <c:v>2.3805000000000001</c:v>
                </c:pt>
                <c:pt idx="20">
                  <c:v>2.51275</c:v>
                </c:pt>
                <c:pt idx="21">
                  <c:v>2.645</c:v>
                </c:pt>
                <c:pt idx="22">
                  <c:v>2.645</c:v>
                </c:pt>
              </c:numCache>
            </c:numRef>
          </c:yVal>
          <c:smooth val="0"/>
          <c:extLst>
            <c:ext xmlns:c16="http://schemas.microsoft.com/office/drawing/2014/chart" uri="{C3380CC4-5D6E-409C-BE32-E72D297353CC}">
              <c16:uniqueId val="{00000019-3479-4044-A929-1DDB54F1D1F7}"/>
            </c:ext>
          </c:extLst>
        </c:ser>
        <c:dLbls>
          <c:showLegendKey val="0"/>
          <c:showVal val="0"/>
          <c:showCatName val="0"/>
          <c:showSerName val="0"/>
          <c:showPercent val="0"/>
          <c:showBubbleSize val="0"/>
        </c:dLbls>
        <c:axId val="471505320"/>
        <c:axId val="471505712"/>
      </c:scatterChart>
      <c:valAx>
        <c:axId val="47150532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AT" b="1">
                    <a:solidFill>
                      <a:sysClr val="windowText" lastClr="000000"/>
                    </a:solidFill>
                  </a:rPr>
                  <a:t>Biegemoment durch Windlast </a:t>
                </a:r>
                <a:r>
                  <a:rPr lang="de-AT" b="1" baseline="0">
                    <a:solidFill>
                      <a:sysClr val="windowText" lastClr="000000"/>
                    </a:solidFill>
                  </a:rPr>
                  <a:t>[kNm/m]</a:t>
                </a:r>
                <a:endParaRPr lang="de-AT"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in"/>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5712"/>
        <c:crosses val="autoZero"/>
        <c:crossBetween val="midCat"/>
      </c:valAx>
      <c:valAx>
        <c:axId val="471505712"/>
        <c:scaling>
          <c:orientation val="minMax"/>
          <c:min val="0"/>
        </c:scaling>
        <c:delete val="0"/>
        <c:axPos val="l"/>
        <c:numFmt formatCode="0.00" sourceLinked="1"/>
        <c:majorTickMark val="cross"/>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532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1.9696913580246913E-2"/>
          <c:w val="1"/>
          <c:h val="0.95825434027777778"/>
        </c:manualLayout>
      </c:layout>
      <c:scatterChart>
        <c:scatterStyle val="lineMarker"/>
        <c:varyColors val="0"/>
        <c:ser>
          <c:idx val="0"/>
          <c:order val="0"/>
          <c:tx>
            <c:strRef>
              <c:f>'Beispiel 1'!$S$31</c:f>
              <c:strCache>
                <c:ptCount val="1"/>
                <c:pt idx="0">
                  <c:v>W1</c:v>
                </c:pt>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87BB-431A-8274-50F54CCA5278}"/>
                </c:ext>
              </c:extLst>
            </c:dLbl>
            <c:dLbl>
              <c:idx val="1"/>
              <c:delete val="1"/>
              <c:extLst>
                <c:ext xmlns:c15="http://schemas.microsoft.com/office/drawing/2012/chart" uri="{CE6537A1-D6FC-4f65-9D91-7224C49458BB}"/>
                <c:ext xmlns:c16="http://schemas.microsoft.com/office/drawing/2014/chart" uri="{C3380CC4-5D6E-409C-BE32-E72D297353CC}">
                  <c16:uniqueId val="{00000001-87BB-431A-8274-50F54CCA5278}"/>
                </c:ext>
              </c:extLst>
            </c:dLbl>
            <c:dLbl>
              <c:idx val="2"/>
              <c:delete val="1"/>
              <c:extLst>
                <c:ext xmlns:c15="http://schemas.microsoft.com/office/drawing/2012/chart" uri="{CE6537A1-D6FC-4f65-9D91-7224C49458BB}"/>
                <c:ext xmlns:c16="http://schemas.microsoft.com/office/drawing/2014/chart" uri="{C3380CC4-5D6E-409C-BE32-E72D297353CC}">
                  <c16:uniqueId val="{00000002-87BB-431A-8274-50F54CCA5278}"/>
                </c:ext>
              </c:extLst>
            </c:dLbl>
            <c:dLbl>
              <c:idx val="3"/>
              <c:delete val="1"/>
              <c:extLst>
                <c:ext xmlns:c15="http://schemas.microsoft.com/office/drawing/2012/chart" uri="{CE6537A1-D6FC-4f65-9D91-7224C49458BB}"/>
                <c:ext xmlns:c16="http://schemas.microsoft.com/office/drawing/2014/chart" uri="{C3380CC4-5D6E-409C-BE32-E72D297353CC}">
                  <c16:uniqueId val="{00000003-87BB-431A-8274-50F54CCA5278}"/>
                </c:ext>
              </c:extLst>
            </c:dLbl>
            <c:dLbl>
              <c:idx val="4"/>
              <c:delete val="1"/>
              <c:extLst>
                <c:ext xmlns:c15="http://schemas.microsoft.com/office/drawing/2012/chart" uri="{CE6537A1-D6FC-4f65-9D91-7224C49458BB}"/>
                <c:ext xmlns:c16="http://schemas.microsoft.com/office/drawing/2014/chart" uri="{C3380CC4-5D6E-409C-BE32-E72D297353CC}">
                  <c16:uniqueId val="{00000004-87BB-431A-8274-50F54CCA527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1'!$V$31:$AA$31</c:f>
              <c:numCache>
                <c:formatCode>General</c:formatCode>
                <c:ptCount val="6"/>
                <c:pt idx="0">
                  <c:v>0.125</c:v>
                </c:pt>
                <c:pt idx="1">
                  <c:v>0.125</c:v>
                </c:pt>
                <c:pt idx="2">
                  <c:v>-0.125</c:v>
                </c:pt>
                <c:pt idx="3">
                  <c:v>-0.125</c:v>
                </c:pt>
                <c:pt idx="4">
                  <c:v>0.125</c:v>
                </c:pt>
                <c:pt idx="5">
                  <c:v>0.125</c:v>
                </c:pt>
              </c:numCache>
            </c:numRef>
          </c:xVal>
          <c:yVal>
            <c:numRef>
              <c:f>'Beispiel 1'!$V$32:$AA$32</c:f>
              <c:numCache>
                <c:formatCode>General</c:formatCode>
                <c:ptCount val="6"/>
                <c:pt idx="0">
                  <c:v>0</c:v>
                </c:pt>
                <c:pt idx="1">
                  <c:v>2.5</c:v>
                </c:pt>
                <c:pt idx="2">
                  <c:v>2.5</c:v>
                </c:pt>
                <c:pt idx="3">
                  <c:v>0</c:v>
                </c:pt>
                <c:pt idx="4">
                  <c:v>0</c:v>
                </c:pt>
                <c:pt idx="5">
                  <c:v>1.25</c:v>
                </c:pt>
              </c:numCache>
            </c:numRef>
          </c:yVal>
          <c:smooth val="0"/>
          <c:extLst>
            <c:ext xmlns:c16="http://schemas.microsoft.com/office/drawing/2014/chart" uri="{C3380CC4-5D6E-409C-BE32-E72D297353CC}">
              <c16:uniqueId val="{00000005-87BB-431A-8274-50F54CCA5278}"/>
            </c:ext>
          </c:extLst>
        </c:ser>
        <c:ser>
          <c:idx val="1"/>
          <c:order val="1"/>
          <c:tx>
            <c:strRef>
              <c:f>'Beispiel 1'!$S$33</c:f>
              <c:strCache>
                <c:ptCount val="1"/>
                <c:pt idx="0">
                  <c:v>W2</c:v>
                </c:pt>
              </c:strCache>
            </c:strRef>
          </c:tx>
          <c:spPr>
            <a:ln w="1270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87BB-431A-8274-50F54CCA5278}"/>
                </c:ext>
              </c:extLst>
            </c:dLbl>
            <c:dLbl>
              <c:idx val="1"/>
              <c:delete val="1"/>
              <c:extLst>
                <c:ext xmlns:c15="http://schemas.microsoft.com/office/drawing/2012/chart" uri="{CE6537A1-D6FC-4f65-9D91-7224C49458BB}"/>
                <c:ext xmlns:c16="http://schemas.microsoft.com/office/drawing/2014/chart" uri="{C3380CC4-5D6E-409C-BE32-E72D297353CC}">
                  <c16:uniqueId val="{00000007-87BB-431A-8274-50F54CCA5278}"/>
                </c:ext>
              </c:extLst>
            </c:dLbl>
            <c:dLbl>
              <c:idx val="2"/>
              <c:delete val="1"/>
              <c:extLst>
                <c:ext xmlns:c15="http://schemas.microsoft.com/office/drawing/2012/chart" uri="{CE6537A1-D6FC-4f65-9D91-7224C49458BB}"/>
                <c:ext xmlns:c16="http://schemas.microsoft.com/office/drawing/2014/chart" uri="{C3380CC4-5D6E-409C-BE32-E72D297353CC}">
                  <c16:uniqueId val="{00000008-87BB-431A-8274-50F54CCA5278}"/>
                </c:ext>
              </c:extLst>
            </c:dLbl>
            <c:dLbl>
              <c:idx val="3"/>
              <c:delete val="1"/>
              <c:extLst>
                <c:ext xmlns:c15="http://schemas.microsoft.com/office/drawing/2012/chart" uri="{CE6537A1-D6FC-4f65-9D91-7224C49458BB}"/>
                <c:ext xmlns:c16="http://schemas.microsoft.com/office/drawing/2014/chart" uri="{C3380CC4-5D6E-409C-BE32-E72D297353CC}">
                  <c16:uniqueId val="{00000009-87BB-431A-8274-50F54CCA5278}"/>
                </c:ext>
              </c:extLst>
            </c:dLbl>
            <c:dLbl>
              <c:idx val="4"/>
              <c:delete val="1"/>
              <c:extLst>
                <c:ext xmlns:c15="http://schemas.microsoft.com/office/drawing/2012/chart" uri="{CE6537A1-D6FC-4f65-9D91-7224C49458BB}"/>
                <c:ext xmlns:c16="http://schemas.microsoft.com/office/drawing/2014/chart" uri="{C3380CC4-5D6E-409C-BE32-E72D297353CC}">
                  <c16:uniqueId val="{0000000A-87BB-431A-8274-50F54CCA527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1'!$V$33:$AA$33</c:f>
              <c:numCache>
                <c:formatCode>General</c:formatCode>
                <c:ptCount val="6"/>
                <c:pt idx="0">
                  <c:v>0.21249999999999999</c:v>
                </c:pt>
                <c:pt idx="1">
                  <c:v>0.21249999999999999</c:v>
                </c:pt>
                <c:pt idx="2">
                  <c:v>-0.21249999999999999</c:v>
                </c:pt>
                <c:pt idx="3">
                  <c:v>-0.21249999999999999</c:v>
                </c:pt>
                <c:pt idx="4">
                  <c:v>0.21249999999999999</c:v>
                </c:pt>
                <c:pt idx="5">
                  <c:v>0.21249999999999999</c:v>
                </c:pt>
              </c:numCache>
            </c:numRef>
          </c:xVal>
          <c:yVal>
            <c:numRef>
              <c:f>'Beispiel 1'!$V$34:$AA$34</c:f>
              <c:numCache>
                <c:formatCode>General</c:formatCode>
                <c:ptCount val="6"/>
                <c:pt idx="0">
                  <c:v>2.7</c:v>
                </c:pt>
                <c:pt idx="1">
                  <c:v>5.3450000000000006</c:v>
                </c:pt>
                <c:pt idx="2">
                  <c:v>5.3450000000000006</c:v>
                </c:pt>
                <c:pt idx="3">
                  <c:v>2.7</c:v>
                </c:pt>
                <c:pt idx="4">
                  <c:v>2.7</c:v>
                </c:pt>
                <c:pt idx="5">
                  <c:v>4.0225</c:v>
                </c:pt>
              </c:numCache>
            </c:numRef>
          </c:yVal>
          <c:smooth val="0"/>
          <c:extLst>
            <c:ext xmlns:c16="http://schemas.microsoft.com/office/drawing/2014/chart" uri="{C3380CC4-5D6E-409C-BE32-E72D297353CC}">
              <c16:uniqueId val="{0000000B-87BB-431A-8274-50F54CCA5278}"/>
            </c:ext>
          </c:extLst>
        </c:ser>
        <c:ser>
          <c:idx val="2"/>
          <c:order val="2"/>
          <c:tx>
            <c:strRef>
              <c:f>'Beispiel 1'!$S$35</c:f>
              <c:strCache>
                <c:ptCount val="1"/>
                <c:pt idx="0">
                  <c:v>W3</c:v>
                </c:pt>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87BB-431A-8274-50F54CCA5278}"/>
                </c:ext>
              </c:extLst>
            </c:dLbl>
            <c:dLbl>
              <c:idx val="1"/>
              <c:delete val="1"/>
              <c:extLst>
                <c:ext xmlns:c15="http://schemas.microsoft.com/office/drawing/2012/chart" uri="{CE6537A1-D6FC-4f65-9D91-7224C49458BB}"/>
                <c:ext xmlns:c16="http://schemas.microsoft.com/office/drawing/2014/chart" uri="{C3380CC4-5D6E-409C-BE32-E72D297353CC}">
                  <c16:uniqueId val="{0000000D-87BB-431A-8274-50F54CCA5278}"/>
                </c:ext>
              </c:extLst>
            </c:dLbl>
            <c:dLbl>
              <c:idx val="2"/>
              <c:delete val="1"/>
              <c:extLst>
                <c:ext xmlns:c15="http://schemas.microsoft.com/office/drawing/2012/chart" uri="{CE6537A1-D6FC-4f65-9D91-7224C49458BB}"/>
                <c:ext xmlns:c16="http://schemas.microsoft.com/office/drawing/2014/chart" uri="{C3380CC4-5D6E-409C-BE32-E72D297353CC}">
                  <c16:uniqueId val="{0000000E-87BB-431A-8274-50F54CCA5278}"/>
                </c:ext>
              </c:extLst>
            </c:dLbl>
            <c:dLbl>
              <c:idx val="3"/>
              <c:delete val="1"/>
              <c:extLst>
                <c:ext xmlns:c15="http://schemas.microsoft.com/office/drawing/2012/chart" uri="{CE6537A1-D6FC-4f65-9D91-7224C49458BB}"/>
                <c:ext xmlns:c16="http://schemas.microsoft.com/office/drawing/2014/chart" uri="{C3380CC4-5D6E-409C-BE32-E72D297353CC}">
                  <c16:uniqueId val="{0000000F-87BB-431A-8274-50F54CCA5278}"/>
                </c:ext>
              </c:extLst>
            </c:dLbl>
            <c:dLbl>
              <c:idx val="4"/>
              <c:delete val="1"/>
              <c:extLst>
                <c:ext xmlns:c15="http://schemas.microsoft.com/office/drawing/2012/chart" uri="{CE6537A1-D6FC-4f65-9D91-7224C49458BB}"/>
                <c:ext xmlns:c16="http://schemas.microsoft.com/office/drawing/2014/chart" uri="{C3380CC4-5D6E-409C-BE32-E72D297353CC}">
                  <c16:uniqueId val="{00000010-87BB-431A-8274-50F54CCA527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1'!$V$35:$AA$35</c:f>
              <c:numCache>
                <c:formatCode>General</c:formatCode>
                <c:ptCount val="6"/>
                <c:pt idx="0">
                  <c:v>0.21249999999999999</c:v>
                </c:pt>
                <c:pt idx="1">
                  <c:v>0.21249999999999999</c:v>
                </c:pt>
                <c:pt idx="2">
                  <c:v>-0.21249999999999999</c:v>
                </c:pt>
                <c:pt idx="3">
                  <c:v>-0.21249999999999999</c:v>
                </c:pt>
                <c:pt idx="4">
                  <c:v>0.21249999999999999</c:v>
                </c:pt>
                <c:pt idx="5">
                  <c:v>0.21249999999999999</c:v>
                </c:pt>
              </c:numCache>
            </c:numRef>
          </c:xVal>
          <c:yVal>
            <c:numRef>
              <c:f>'Beispiel 1'!$V$36:$AA$36</c:f>
              <c:numCache>
                <c:formatCode>General</c:formatCode>
                <c:ptCount val="6"/>
                <c:pt idx="0">
                  <c:v>5.5450000000000008</c:v>
                </c:pt>
                <c:pt idx="1">
                  <c:v>8.1900000000000013</c:v>
                </c:pt>
                <c:pt idx="2">
                  <c:v>8.1900000000000013</c:v>
                </c:pt>
                <c:pt idx="3">
                  <c:v>5.5450000000000008</c:v>
                </c:pt>
                <c:pt idx="4">
                  <c:v>5.5450000000000008</c:v>
                </c:pt>
                <c:pt idx="5">
                  <c:v>6.8675000000000006</c:v>
                </c:pt>
              </c:numCache>
            </c:numRef>
          </c:yVal>
          <c:smooth val="0"/>
          <c:extLst>
            <c:ext xmlns:c16="http://schemas.microsoft.com/office/drawing/2014/chart" uri="{C3380CC4-5D6E-409C-BE32-E72D297353CC}">
              <c16:uniqueId val="{00000011-87BB-431A-8274-50F54CCA5278}"/>
            </c:ext>
          </c:extLst>
        </c:ser>
        <c:ser>
          <c:idx val="3"/>
          <c:order val="3"/>
          <c:tx>
            <c:strRef>
              <c:f>'Beispiel 1'!$S$38</c:f>
              <c:strCache>
                <c:ptCount val="1"/>
                <c:pt idx="0">
                  <c:v>D1</c:v>
                </c:pt>
              </c:strCache>
            </c:strRef>
          </c:tx>
          <c:spPr>
            <a:ln w="12700" cap="rnd">
              <a:solidFill>
                <a:schemeClr val="tx1"/>
              </a:solidFill>
              <a:round/>
            </a:ln>
            <a:effectLst/>
          </c:spPr>
          <c:marker>
            <c:symbol val="none"/>
          </c:marker>
          <c:dPt>
            <c:idx val="1"/>
            <c:bubble3D val="0"/>
            <c:extLst>
              <c:ext xmlns:c16="http://schemas.microsoft.com/office/drawing/2014/chart" uri="{C3380CC4-5D6E-409C-BE32-E72D297353CC}">
                <c16:uniqueId val="{00000012-87BB-431A-8274-50F54CCA5278}"/>
              </c:ext>
            </c:extLst>
          </c:dPt>
          <c:dLbls>
            <c:dLbl>
              <c:idx val="2"/>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87BB-431A-8274-50F54CCA5278}"/>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'Beispiel 1'!$V$38:$AA$38</c:f>
              <c:numCache>
                <c:formatCode>General</c:formatCode>
                <c:ptCount val="6"/>
                <c:pt idx="0">
                  <c:v>-3.2500000000000001E-2</c:v>
                </c:pt>
                <c:pt idx="1">
                  <c:v>-3.2500000000000001E-2</c:v>
                </c:pt>
                <c:pt idx="2">
                  <c:v>5.7125000000000004</c:v>
                </c:pt>
                <c:pt idx="3">
                  <c:v>5.7125000000000004</c:v>
                </c:pt>
                <c:pt idx="4">
                  <c:v>2.9624999999999999</c:v>
                </c:pt>
                <c:pt idx="5">
                  <c:v>-3.2500000000000001E-2</c:v>
                </c:pt>
              </c:numCache>
            </c:numRef>
          </c:xVal>
          <c:yVal>
            <c:numRef>
              <c:f>'Beispiel 1'!$V$39:$AA$39</c:f>
              <c:numCache>
                <c:formatCode>General</c:formatCode>
                <c:ptCount val="6"/>
                <c:pt idx="0">
                  <c:v>2.5</c:v>
                </c:pt>
                <c:pt idx="1">
                  <c:v>2.7</c:v>
                </c:pt>
                <c:pt idx="2">
                  <c:v>2.7</c:v>
                </c:pt>
                <c:pt idx="3">
                  <c:v>2.5</c:v>
                </c:pt>
                <c:pt idx="4">
                  <c:v>2.5</c:v>
                </c:pt>
                <c:pt idx="5">
                  <c:v>2.5</c:v>
                </c:pt>
              </c:numCache>
            </c:numRef>
          </c:yVal>
          <c:smooth val="0"/>
          <c:extLst>
            <c:ext xmlns:c16="http://schemas.microsoft.com/office/drawing/2014/chart" uri="{C3380CC4-5D6E-409C-BE32-E72D297353CC}">
              <c16:uniqueId val="{00000014-87BB-431A-8274-50F54CCA5278}"/>
            </c:ext>
          </c:extLst>
        </c:ser>
        <c:ser>
          <c:idx val="4"/>
          <c:order val="4"/>
          <c:tx>
            <c:strRef>
              <c:f>'Beispiel 1'!$S$40</c:f>
              <c:strCache>
                <c:ptCount val="1"/>
                <c:pt idx="0">
                  <c:v>D2</c:v>
                </c:pt>
              </c:strCache>
            </c:strRef>
          </c:tx>
          <c:spPr>
            <a:ln w="12700" cap="rnd">
              <a:solidFill>
                <a:schemeClr val="tx1"/>
              </a:solidFill>
              <a:round/>
            </a:ln>
            <a:effectLst/>
          </c:spPr>
          <c:marker>
            <c:symbol val="none"/>
          </c:marker>
          <c:dPt>
            <c:idx val="1"/>
            <c:bubble3D val="0"/>
            <c:extLst>
              <c:ext xmlns:c16="http://schemas.microsoft.com/office/drawing/2014/chart" uri="{C3380CC4-5D6E-409C-BE32-E72D297353CC}">
                <c16:uniqueId val="{00000015-87BB-431A-8274-50F54CCA5278}"/>
              </c:ext>
            </c:extLst>
          </c:dPt>
          <c:dLbls>
            <c:dLbl>
              <c:idx val="2"/>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6-87BB-431A-8274-50F54CCA5278}"/>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'Beispiel 1'!$V$40:$AA$40</c:f>
              <c:numCache>
                <c:formatCode>General</c:formatCode>
                <c:ptCount val="6"/>
                <c:pt idx="0">
                  <c:v>-3.2500000000000001E-2</c:v>
                </c:pt>
                <c:pt idx="1">
                  <c:v>-3.2500000000000001E-2</c:v>
                </c:pt>
                <c:pt idx="2">
                  <c:v>5.7125000000000004</c:v>
                </c:pt>
                <c:pt idx="3">
                  <c:v>5.7125000000000004</c:v>
                </c:pt>
                <c:pt idx="4">
                  <c:v>2.9624999999999999</c:v>
                </c:pt>
                <c:pt idx="5">
                  <c:v>-3.2500000000000001E-2</c:v>
                </c:pt>
              </c:numCache>
            </c:numRef>
          </c:xVal>
          <c:yVal>
            <c:numRef>
              <c:f>'Beispiel 1'!$V$41:$AA$41</c:f>
              <c:numCache>
                <c:formatCode>General</c:formatCode>
                <c:ptCount val="6"/>
                <c:pt idx="0">
                  <c:v>5.3450000000000006</c:v>
                </c:pt>
                <c:pt idx="1">
                  <c:v>5.5450000000000008</c:v>
                </c:pt>
                <c:pt idx="2">
                  <c:v>5.5450000000000008</c:v>
                </c:pt>
                <c:pt idx="3">
                  <c:v>5.3450000000000006</c:v>
                </c:pt>
                <c:pt idx="4">
                  <c:v>5.3450000000000006</c:v>
                </c:pt>
                <c:pt idx="5">
                  <c:v>5.3450000000000006</c:v>
                </c:pt>
              </c:numCache>
            </c:numRef>
          </c:yVal>
          <c:smooth val="0"/>
          <c:extLst>
            <c:ext xmlns:c16="http://schemas.microsoft.com/office/drawing/2014/chart" uri="{C3380CC4-5D6E-409C-BE32-E72D297353CC}">
              <c16:uniqueId val="{00000017-87BB-431A-8274-50F54CCA5278}"/>
            </c:ext>
          </c:extLst>
        </c:ser>
        <c:ser>
          <c:idx val="5"/>
          <c:order val="5"/>
          <c:tx>
            <c:strRef>
              <c:f>'Beispiel 1'!$S$42</c:f>
              <c:strCache>
                <c:ptCount val="1"/>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8-87BB-431A-8274-50F54CCA5278}"/>
                </c:ext>
              </c:extLst>
            </c:dLbl>
            <c:dLbl>
              <c:idx val="1"/>
              <c:delete val="1"/>
              <c:extLst>
                <c:ext xmlns:c15="http://schemas.microsoft.com/office/drawing/2012/chart" uri="{CE6537A1-D6FC-4f65-9D91-7224C49458BB}"/>
                <c:ext xmlns:c16="http://schemas.microsoft.com/office/drawing/2014/chart" uri="{C3380CC4-5D6E-409C-BE32-E72D297353CC}">
                  <c16:uniqueId val="{00000019-87BB-431A-8274-50F54CCA5278}"/>
                </c:ext>
              </c:extLst>
            </c:dLbl>
            <c:dLbl>
              <c:idx val="3"/>
              <c:delete val="1"/>
              <c:extLst>
                <c:ext xmlns:c15="http://schemas.microsoft.com/office/drawing/2012/chart" uri="{CE6537A1-D6FC-4f65-9D91-7224C49458BB}"/>
                <c:ext xmlns:c16="http://schemas.microsoft.com/office/drawing/2014/chart" uri="{C3380CC4-5D6E-409C-BE32-E72D297353CC}">
                  <c16:uniqueId val="{0000001A-87BB-431A-8274-50F54CCA5278}"/>
                </c:ext>
              </c:extLst>
            </c:dLbl>
            <c:dLbl>
              <c:idx val="4"/>
              <c:delete val="1"/>
              <c:extLst>
                <c:ext xmlns:c15="http://schemas.microsoft.com/office/drawing/2012/chart" uri="{CE6537A1-D6FC-4f65-9D91-7224C49458BB}"/>
                <c:ext xmlns:c16="http://schemas.microsoft.com/office/drawing/2014/chart" uri="{C3380CC4-5D6E-409C-BE32-E72D297353CC}">
                  <c16:uniqueId val="{0000001B-87BB-431A-8274-50F54CCA5278}"/>
                </c:ext>
              </c:extLst>
            </c:dLbl>
            <c:dLbl>
              <c:idx val="5"/>
              <c:delete val="1"/>
              <c:extLst>
                <c:ext xmlns:c15="http://schemas.microsoft.com/office/drawing/2012/chart" uri="{CE6537A1-D6FC-4f65-9D91-7224C49458BB}"/>
                <c:ext xmlns:c16="http://schemas.microsoft.com/office/drawing/2014/chart" uri="{C3380CC4-5D6E-409C-BE32-E72D297353CC}">
                  <c16:uniqueId val="{0000001C-87BB-431A-8274-50F54CCA5278}"/>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1'!$V$42:$AA$42</c:f>
              <c:numCache>
                <c:formatCode>General</c:formatCode>
                <c:ptCount val="6"/>
                <c:pt idx="0">
                  <c:v>0</c:v>
                </c:pt>
                <c:pt idx="1">
                  <c:v>0</c:v>
                </c:pt>
                <c:pt idx="2">
                  <c:v>0</c:v>
                </c:pt>
                <c:pt idx="3">
                  <c:v>0</c:v>
                </c:pt>
                <c:pt idx="4">
                  <c:v>0</c:v>
                </c:pt>
                <c:pt idx="5">
                  <c:v>0</c:v>
                </c:pt>
              </c:numCache>
            </c:numRef>
          </c:xVal>
          <c:yVal>
            <c:numRef>
              <c:f>'Beispiel 1'!$V$43:$AA$43</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1D-87BB-431A-8274-50F54CCA5278}"/>
            </c:ext>
          </c:extLst>
        </c:ser>
        <c:ser>
          <c:idx val="6"/>
          <c:order val="6"/>
          <c:tx>
            <c:strRef>
              <c:f>'Beispiel 1'!$S$44</c:f>
              <c:strCache>
                <c:ptCount val="1"/>
              </c:strCache>
            </c:strRef>
          </c:tx>
          <c:spPr>
            <a:ln w="12700" cap="rnd">
              <a:solidFill>
                <a:schemeClr val="tx1"/>
              </a:solidFill>
              <a:round/>
            </a:ln>
            <a:effectLst/>
          </c:spPr>
          <c:marker>
            <c:symbol val="none"/>
          </c:marker>
          <c:dLbls>
            <c:dLbl>
              <c:idx val="2"/>
              <c:dLblPos val="l"/>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E-87BB-431A-8274-50F54CCA5278}"/>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'Beispiel 1'!$V$44:$AA$44</c:f>
              <c:numCache>
                <c:formatCode>General</c:formatCode>
                <c:ptCount val="6"/>
                <c:pt idx="0">
                  <c:v>0</c:v>
                </c:pt>
                <c:pt idx="1">
                  <c:v>0</c:v>
                </c:pt>
                <c:pt idx="2">
                  <c:v>0</c:v>
                </c:pt>
                <c:pt idx="3">
                  <c:v>0</c:v>
                </c:pt>
                <c:pt idx="4">
                  <c:v>0</c:v>
                </c:pt>
                <c:pt idx="5">
                  <c:v>0</c:v>
                </c:pt>
              </c:numCache>
            </c:numRef>
          </c:xVal>
          <c:yVal>
            <c:numRef>
              <c:f>'Beispiel 1'!$V$45:$AA$45</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1F-87BB-431A-8274-50F54CCA5278}"/>
            </c:ext>
          </c:extLst>
        </c:ser>
        <c:ser>
          <c:idx val="11"/>
          <c:order val="7"/>
          <c:tx>
            <c:strRef>
              <c:f>'Beispiel 1'!$T$46</c:f>
              <c:strCache>
                <c:ptCount val="1"/>
                <c:pt idx="0">
                  <c:v>Outline</c:v>
                </c:pt>
              </c:strCache>
            </c:strRef>
          </c:tx>
          <c:spPr>
            <a:ln w="19050" cap="rnd">
              <a:noFill/>
              <a:round/>
            </a:ln>
            <a:effectLst/>
          </c:spPr>
          <c:marker>
            <c:symbol val="none"/>
          </c:marker>
          <c:dLbls>
            <c:delete val="1"/>
          </c:dLbls>
          <c:xVal>
            <c:numRef>
              <c:f>'Beispiel 1'!$V$46:$W$46</c:f>
              <c:numCache>
                <c:formatCode>General</c:formatCode>
                <c:ptCount val="2"/>
                <c:pt idx="0">
                  <c:v>9.0090000000000021</c:v>
                </c:pt>
                <c:pt idx="1">
                  <c:v>-9.0090000000000021</c:v>
                </c:pt>
              </c:numCache>
            </c:numRef>
          </c:xVal>
          <c:yVal>
            <c:numRef>
              <c:f>'Beispiel 1'!$V$47:$W$47</c:f>
              <c:numCache>
                <c:formatCode>General</c:formatCode>
                <c:ptCount val="2"/>
                <c:pt idx="0">
                  <c:v>9.0090000000000021</c:v>
                </c:pt>
                <c:pt idx="1">
                  <c:v>9.0090000000000021</c:v>
                </c:pt>
              </c:numCache>
            </c:numRef>
          </c:yVal>
          <c:smooth val="0"/>
          <c:extLst>
            <c:ext xmlns:c16="http://schemas.microsoft.com/office/drawing/2014/chart" uri="{C3380CC4-5D6E-409C-BE32-E72D297353CC}">
              <c16:uniqueId val="{00000020-87BB-431A-8274-50F54CCA5278}"/>
            </c:ext>
          </c:extLst>
        </c:ser>
        <c:ser>
          <c:idx val="12"/>
          <c:order val="8"/>
          <c:tx>
            <c:strRef>
              <c:f>'Beispiel 1'!$X$51</c:f>
              <c:strCache>
                <c:ptCount val="1"/>
              </c:strCache>
            </c:strRef>
          </c:tx>
          <c:spPr>
            <a:ln w="19050" cap="rnd">
              <a:solidFill>
                <a:schemeClr val="accent1">
                  <a:lumMod val="80000"/>
                  <a:lumOff val="20000"/>
                </a:schemeClr>
              </a:solidFill>
              <a:round/>
            </a:ln>
            <a:effectLst/>
          </c:spPr>
          <c:marker>
            <c:symbol val="none"/>
          </c:marker>
          <c:dPt>
            <c:idx val="1"/>
            <c:bubble3D val="0"/>
            <c:spPr>
              <a:ln w="19050" cap="rnd">
                <a:solidFill>
                  <a:srgbClr val="C00000"/>
                </a:solidFill>
                <a:round/>
                <a:tailEnd type="triangle"/>
              </a:ln>
              <a:effectLst/>
            </c:spPr>
            <c:extLst>
              <c:ext xmlns:c16="http://schemas.microsoft.com/office/drawing/2014/chart" uri="{C3380CC4-5D6E-409C-BE32-E72D297353CC}">
                <c16:uniqueId val="{00000022-87BB-431A-8274-50F54CCA5278}"/>
              </c:ext>
            </c:extLst>
          </c:dPt>
          <c:dLbls>
            <c:dLbl>
              <c:idx val="0"/>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3-87BB-431A-8274-50F54CCA5278}"/>
                </c:ext>
              </c:extLst>
            </c:dLbl>
            <c:dLbl>
              <c:idx val="1"/>
              <c:delete val="1"/>
              <c:extLst>
                <c:ext xmlns:c15="http://schemas.microsoft.com/office/drawing/2012/chart" uri="{CE6537A1-D6FC-4f65-9D91-7224C49458BB}"/>
                <c:ext xmlns:c16="http://schemas.microsoft.com/office/drawing/2014/chart" uri="{C3380CC4-5D6E-409C-BE32-E72D297353CC}">
                  <c16:uniqueId val="{00000022-87BB-431A-8274-50F54CCA527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1'!$V$51:$W$51</c:f>
              <c:numCache>
                <c:formatCode>General</c:formatCode>
                <c:ptCount val="2"/>
                <c:pt idx="0">
                  <c:v>0</c:v>
                </c:pt>
                <c:pt idx="1">
                  <c:v>0</c:v>
                </c:pt>
              </c:numCache>
            </c:numRef>
          </c:xVal>
          <c:yVal>
            <c:numRef>
              <c:f>'Beispiel 1'!$V$52:$W$52</c:f>
              <c:numCache>
                <c:formatCode>General</c:formatCode>
                <c:ptCount val="2"/>
                <c:pt idx="0">
                  <c:v>-5</c:v>
                </c:pt>
                <c:pt idx="1">
                  <c:v>-5</c:v>
                </c:pt>
              </c:numCache>
            </c:numRef>
          </c:yVal>
          <c:smooth val="0"/>
          <c:extLst>
            <c:ext xmlns:c16="http://schemas.microsoft.com/office/drawing/2014/chart" uri="{C3380CC4-5D6E-409C-BE32-E72D297353CC}">
              <c16:uniqueId val="{00000024-87BB-431A-8274-50F54CCA5278}"/>
            </c:ext>
          </c:extLst>
        </c:ser>
        <c:ser>
          <c:idx val="13"/>
          <c:order val="9"/>
          <c:tx>
            <c:strRef>
              <c:f>'Beispiel 1'!$X$53</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5-87BB-431A-8274-50F54CCA5278}"/>
                </c:ext>
              </c:extLst>
            </c:dLbl>
            <c:spPr>
              <a:noFill/>
              <a:ln>
                <a:noFill/>
              </a:ln>
              <a:effectLst/>
            </c:spPr>
            <c:txPr>
              <a:bodyPr rot="0" spcFirstLastPara="1" vertOverflow="ellipsis" vert="horz" wrap="square" lIns="38100" tIns="19050" rIns="38100" bIns="19050" anchor="ctr" anchorCtr="0">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1'!$V$53:$W$53</c:f>
              <c:numCache>
                <c:formatCode>General</c:formatCode>
                <c:ptCount val="2"/>
                <c:pt idx="0">
                  <c:v>0</c:v>
                </c:pt>
                <c:pt idx="1">
                  <c:v>0</c:v>
                </c:pt>
              </c:numCache>
            </c:numRef>
          </c:xVal>
          <c:yVal>
            <c:numRef>
              <c:f>'Beispiel 1'!$V$54:$W$54</c:f>
              <c:numCache>
                <c:formatCode>General</c:formatCode>
                <c:ptCount val="2"/>
                <c:pt idx="0">
                  <c:v>-5</c:v>
                </c:pt>
                <c:pt idx="1">
                  <c:v>-5</c:v>
                </c:pt>
              </c:numCache>
            </c:numRef>
          </c:yVal>
          <c:smooth val="0"/>
          <c:extLst>
            <c:ext xmlns:c16="http://schemas.microsoft.com/office/drawing/2014/chart" uri="{C3380CC4-5D6E-409C-BE32-E72D297353CC}">
              <c16:uniqueId val="{00000026-87BB-431A-8274-50F54CCA5278}"/>
            </c:ext>
          </c:extLst>
        </c:ser>
        <c:ser>
          <c:idx val="14"/>
          <c:order val="10"/>
          <c:tx>
            <c:strRef>
              <c:f>'Beispiel 1'!$X$55</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7-87BB-431A-8274-50F54CCA527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1'!$V$55:$W$55</c:f>
              <c:numCache>
                <c:formatCode>General</c:formatCode>
                <c:ptCount val="2"/>
                <c:pt idx="0">
                  <c:v>0</c:v>
                </c:pt>
                <c:pt idx="1">
                  <c:v>0</c:v>
                </c:pt>
              </c:numCache>
            </c:numRef>
          </c:xVal>
          <c:yVal>
            <c:numRef>
              <c:f>'Beispiel 1'!$V$56:$W$56</c:f>
              <c:numCache>
                <c:formatCode>General</c:formatCode>
                <c:ptCount val="2"/>
                <c:pt idx="0">
                  <c:v>-5</c:v>
                </c:pt>
                <c:pt idx="1">
                  <c:v>-5</c:v>
                </c:pt>
              </c:numCache>
            </c:numRef>
          </c:yVal>
          <c:smooth val="0"/>
          <c:extLst>
            <c:ext xmlns:c16="http://schemas.microsoft.com/office/drawing/2014/chart" uri="{C3380CC4-5D6E-409C-BE32-E72D297353CC}">
              <c16:uniqueId val="{00000028-87BB-431A-8274-50F54CCA5278}"/>
            </c:ext>
          </c:extLst>
        </c:ser>
        <c:ser>
          <c:idx val="15"/>
          <c:order val="11"/>
          <c:tx>
            <c:strRef>
              <c:f>'Beispiel 1'!$X$57</c:f>
              <c:strCache>
                <c:ptCount val="1"/>
              </c:strCache>
            </c:strRef>
          </c:tx>
          <c:spPr>
            <a:ln w="19050" cap="rnd">
              <a:solidFill>
                <a:srgbClr val="C00000"/>
              </a:solidFill>
              <a:round/>
              <a:headEnd type="none"/>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9-87BB-431A-8274-50F54CCA527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1'!$V$57:$W$57</c:f>
              <c:numCache>
                <c:formatCode>General</c:formatCode>
                <c:ptCount val="2"/>
                <c:pt idx="0">
                  <c:v>0</c:v>
                </c:pt>
                <c:pt idx="1">
                  <c:v>0</c:v>
                </c:pt>
              </c:numCache>
            </c:numRef>
          </c:xVal>
          <c:yVal>
            <c:numRef>
              <c:f>'Beispiel 1'!$V$58:$W$58</c:f>
              <c:numCache>
                <c:formatCode>General</c:formatCode>
                <c:ptCount val="2"/>
                <c:pt idx="0">
                  <c:v>-5</c:v>
                </c:pt>
                <c:pt idx="1">
                  <c:v>-5</c:v>
                </c:pt>
              </c:numCache>
            </c:numRef>
          </c:yVal>
          <c:smooth val="0"/>
          <c:extLst>
            <c:ext xmlns:c16="http://schemas.microsoft.com/office/drawing/2014/chart" uri="{C3380CC4-5D6E-409C-BE32-E72D297353CC}">
              <c16:uniqueId val="{0000002A-87BB-431A-8274-50F54CCA5278}"/>
            </c:ext>
          </c:extLst>
        </c:ser>
        <c:ser>
          <c:idx val="7"/>
          <c:order val="12"/>
          <c:tx>
            <c:v>Bearing Slab 01 Fixed</c:v>
          </c:tx>
          <c:spPr>
            <a:ln w="19050" cap="rnd">
              <a:solidFill>
                <a:schemeClr val="accent2">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1'!$Z$51</c:f>
              <c:numCache>
                <c:formatCode>General</c:formatCode>
                <c:ptCount val="1"/>
                <c:pt idx="0">
                  <c:v>5.7125000000000004</c:v>
                </c:pt>
              </c:numCache>
            </c:numRef>
          </c:xVal>
          <c:yVal>
            <c:numRef>
              <c:f>'Beispiel 1'!$Z$52</c:f>
              <c:numCache>
                <c:formatCode>General</c:formatCode>
                <c:ptCount val="1"/>
                <c:pt idx="0">
                  <c:v>2.5</c:v>
                </c:pt>
              </c:numCache>
            </c:numRef>
          </c:yVal>
          <c:smooth val="0"/>
          <c:extLst>
            <c:ext xmlns:c16="http://schemas.microsoft.com/office/drawing/2014/chart" uri="{C3380CC4-5D6E-409C-BE32-E72D297353CC}">
              <c16:uniqueId val="{0000002B-87BB-431A-8274-50F54CCA5278}"/>
            </c:ext>
          </c:extLst>
        </c:ser>
        <c:ser>
          <c:idx val="8"/>
          <c:order val="13"/>
          <c:tx>
            <c:v>Bearing Slab 01 Hinged</c:v>
          </c:tx>
          <c:spPr>
            <a:ln w="19050" cap="rnd">
              <a:solidFill>
                <a:schemeClr val="accent3">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1'!$AA$51</c:f>
              <c:numCache>
                <c:formatCode>General</c:formatCode>
                <c:ptCount val="1"/>
                <c:pt idx="0">
                  <c:v>5.7125000000000004</c:v>
                </c:pt>
              </c:numCache>
            </c:numRef>
          </c:xVal>
          <c:yVal>
            <c:numRef>
              <c:f>'Beispiel 1'!$AA$52</c:f>
              <c:numCache>
                <c:formatCode>General</c:formatCode>
                <c:ptCount val="1"/>
                <c:pt idx="0">
                  <c:v>-5</c:v>
                </c:pt>
              </c:numCache>
            </c:numRef>
          </c:yVal>
          <c:smooth val="0"/>
          <c:extLst>
            <c:ext xmlns:c16="http://schemas.microsoft.com/office/drawing/2014/chart" uri="{C3380CC4-5D6E-409C-BE32-E72D297353CC}">
              <c16:uniqueId val="{0000002C-87BB-431A-8274-50F54CCA5278}"/>
            </c:ext>
          </c:extLst>
        </c:ser>
        <c:ser>
          <c:idx val="9"/>
          <c:order val="14"/>
          <c:tx>
            <c:v>Bearing Slab 02 Fixed</c:v>
          </c:tx>
          <c:spPr>
            <a:ln w="19050" cap="rnd">
              <a:solidFill>
                <a:schemeClr val="accent4">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1'!$Z$53</c:f>
              <c:numCache>
                <c:formatCode>General</c:formatCode>
                <c:ptCount val="1"/>
                <c:pt idx="0">
                  <c:v>5.7125000000000004</c:v>
                </c:pt>
              </c:numCache>
            </c:numRef>
          </c:xVal>
          <c:yVal>
            <c:numRef>
              <c:f>'Beispiel 1'!$Z$54</c:f>
              <c:numCache>
                <c:formatCode>General</c:formatCode>
                <c:ptCount val="1"/>
                <c:pt idx="0">
                  <c:v>5.3450000000000006</c:v>
                </c:pt>
              </c:numCache>
            </c:numRef>
          </c:yVal>
          <c:smooth val="0"/>
          <c:extLst>
            <c:ext xmlns:c16="http://schemas.microsoft.com/office/drawing/2014/chart" uri="{C3380CC4-5D6E-409C-BE32-E72D297353CC}">
              <c16:uniqueId val="{0000002D-87BB-431A-8274-50F54CCA5278}"/>
            </c:ext>
          </c:extLst>
        </c:ser>
        <c:ser>
          <c:idx val="10"/>
          <c:order val="15"/>
          <c:tx>
            <c:v>Bearing Slab 02 Hinged</c:v>
          </c:tx>
          <c:spPr>
            <a:ln w="19050" cap="rnd">
              <a:solidFill>
                <a:schemeClr val="accent5">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1'!$AA$53</c:f>
              <c:numCache>
                <c:formatCode>General</c:formatCode>
                <c:ptCount val="1"/>
                <c:pt idx="0">
                  <c:v>5.7125000000000004</c:v>
                </c:pt>
              </c:numCache>
            </c:numRef>
          </c:xVal>
          <c:yVal>
            <c:numRef>
              <c:f>'Beispiel 1'!$AA$54</c:f>
              <c:numCache>
                <c:formatCode>General</c:formatCode>
                <c:ptCount val="1"/>
                <c:pt idx="0">
                  <c:v>-5</c:v>
                </c:pt>
              </c:numCache>
            </c:numRef>
          </c:yVal>
          <c:smooth val="0"/>
          <c:extLst>
            <c:ext xmlns:c16="http://schemas.microsoft.com/office/drawing/2014/chart" uri="{C3380CC4-5D6E-409C-BE32-E72D297353CC}">
              <c16:uniqueId val="{0000002E-87BB-431A-8274-50F54CCA5278}"/>
            </c:ext>
          </c:extLst>
        </c:ser>
        <c:ser>
          <c:idx val="16"/>
          <c:order val="16"/>
          <c:tx>
            <c:v>Bearing Slab 03 Fixed</c:v>
          </c:tx>
          <c:spPr>
            <a:ln w="19050" cap="rnd">
              <a:solidFill>
                <a:schemeClr val="accent5">
                  <a:lumMod val="80000"/>
                  <a:lumOff val="2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1'!$Z$55</c:f>
              <c:numCache>
                <c:formatCode>General</c:formatCode>
                <c:ptCount val="1"/>
                <c:pt idx="0">
                  <c:v>0</c:v>
                </c:pt>
              </c:numCache>
            </c:numRef>
          </c:xVal>
          <c:yVal>
            <c:numRef>
              <c:f>'Beispiel 1'!$Z$56</c:f>
              <c:numCache>
                <c:formatCode>General</c:formatCode>
                <c:ptCount val="1"/>
                <c:pt idx="0">
                  <c:v>-5</c:v>
                </c:pt>
              </c:numCache>
            </c:numRef>
          </c:yVal>
          <c:smooth val="0"/>
          <c:extLst>
            <c:ext xmlns:c16="http://schemas.microsoft.com/office/drawing/2014/chart" uri="{C3380CC4-5D6E-409C-BE32-E72D297353CC}">
              <c16:uniqueId val="{0000002F-87BB-431A-8274-50F54CCA5278}"/>
            </c:ext>
          </c:extLst>
        </c:ser>
        <c:ser>
          <c:idx val="17"/>
          <c:order val="17"/>
          <c:tx>
            <c:v>Bearing Slab 03 Hinged</c:v>
          </c:tx>
          <c:spPr>
            <a:ln w="19050" cap="rnd">
              <a:solidFill>
                <a:schemeClr val="accent6">
                  <a:lumMod val="80000"/>
                  <a:lumOff val="2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1'!$AA$55</c:f>
              <c:numCache>
                <c:formatCode>General</c:formatCode>
                <c:ptCount val="1"/>
                <c:pt idx="0">
                  <c:v>0</c:v>
                </c:pt>
              </c:numCache>
            </c:numRef>
          </c:xVal>
          <c:yVal>
            <c:numRef>
              <c:f>'Beispiel 1'!$AA$56</c:f>
              <c:numCache>
                <c:formatCode>General</c:formatCode>
                <c:ptCount val="1"/>
                <c:pt idx="0">
                  <c:v>-5</c:v>
                </c:pt>
              </c:numCache>
            </c:numRef>
          </c:yVal>
          <c:smooth val="0"/>
          <c:extLst>
            <c:ext xmlns:c16="http://schemas.microsoft.com/office/drawing/2014/chart" uri="{C3380CC4-5D6E-409C-BE32-E72D297353CC}">
              <c16:uniqueId val="{00000030-87BB-431A-8274-50F54CCA5278}"/>
            </c:ext>
          </c:extLst>
        </c:ser>
        <c:ser>
          <c:idx val="18"/>
          <c:order val="18"/>
          <c:tx>
            <c:v>Bearing Slab 04 Fixed</c:v>
          </c:tx>
          <c:spPr>
            <a:ln w="19050" cap="rnd">
              <a:solidFill>
                <a:schemeClr val="accent1">
                  <a:lumMod val="8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1'!$Z$57</c:f>
              <c:numCache>
                <c:formatCode>General</c:formatCode>
                <c:ptCount val="1"/>
                <c:pt idx="0">
                  <c:v>0</c:v>
                </c:pt>
              </c:numCache>
            </c:numRef>
          </c:xVal>
          <c:yVal>
            <c:numRef>
              <c:f>'Beispiel 1'!$Z$58</c:f>
              <c:numCache>
                <c:formatCode>General</c:formatCode>
                <c:ptCount val="1"/>
                <c:pt idx="0">
                  <c:v>-5</c:v>
                </c:pt>
              </c:numCache>
            </c:numRef>
          </c:yVal>
          <c:smooth val="0"/>
          <c:extLst>
            <c:ext xmlns:c16="http://schemas.microsoft.com/office/drawing/2014/chart" uri="{C3380CC4-5D6E-409C-BE32-E72D297353CC}">
              <c16:uniqueId val="{00000031-87BB-431A-8274-50F54CCA5278}"/>
            </c:ext>
          </c:extLst>
        </c:ser>
        <c:ser>
          <c:idx val="19"/>
          <c:order val="19"/>
          <c:tx>
            <c:v>Bearing Slab 04 Hinged</c:v>
          </c:tx>
          <c:spPr>
            <a:ln w="19050" cap="rnd">
              <a:solidFill>
                <a:schemeClr val="accent2">
                  <a:lumMod val="8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1'!$AA$57</c:f>
              <c:numCache>
                <c:formatCode>General</c:formatCode>
                <c:ptCount val="1"/>
                <c:pt idx="0">
                  <c:v>0</c:v>
                </c:pt>
              </c:numCache>
            </c:numRef>
          </c:xVal>
          <c:yVal>
            <c:numRef>
              <c:f>'Beispiel 1'!$AA$58</c:f>
              <c:numCache>
                <c:formatCode>General</c:formatCode>
                <c:ptCount val="1"/>
                <c:pt idx="0">
                  <c:v>-5</c:v>
                </c:pt>
              </c:numCache>
            </c:numRef>
          </c:yVal>
          <c:smooth val="0"/>
          <c:extLst>
            <c:ext xmlns:c16="http://schemas.microsoft.com/office/drawing/2014/chart" uri="{C3380CC4-5D6E-409C-BE32-E72D297353CC}">
              <c16:uniqueId val="{00000032-87BB-431A-8274-50F54CCA5278}"/>
            </c:ext>
          </c:extLst>
        </c:ser>
        <c:dLbls>
          <c:showLegendKey val="0"/>
          <c:showVal val="1"/>
          <c:showCatName val="0"/>
          <c:showSerName val="0"/>
          <c:showPercent val="0"/>
          <c:showBubbleSize val="0"/>
        </c:dLbls>
        <c:axId val="471501400"/>
        <c:axId val="471499832"/>
      </c:scatterChart>
      <c:valAx>
        <c:axId val="471501400"/>
        <c:scaling>
          <c:orientation val="minMax"/>
        </c:scaling>
        <c:delete val="0"/>
        <c:axPos val="b"/>
        <c:majorGridlines>
          <c:spPr>
            <a:ln w="9525" cap="flat" cmpd="sng" algn="ctr">
              <a:noFill/>
              <a:round/>
            </a:ln>
            <a:effectLst/>
          </c:spPr>
        </c:majorGridlines>
        <c:numFmt formatCode="General" sourceLinked="1"/>
        <c:majorTickMark val="none"/>
        <c:minorTickMark val="none"/>
        <c:tickLblPos val="none"/>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499832"/>
        <c:crosses val="autoZero"/>
        <c:crossBetween val="midCat"/>
        <c:majorUnit val="2"/>
      </c:valAx>
      <c:valAx>
        <c:axId val="471499832"/>
        <c:scaling>
          <c:orientation val="minMax"/>
          <c:min val="0"/>
        </c:scaling>
        <c:delete val="1"/>
        <c:axPos val="l"/>
        <c:majorGridlines>
          <c:spPr>
            <a:ln w="9525" cap="flat" cmpd="sng" algn="ctr">
              <a:noFill/>
              <a:round/>
            </a:ln>
            <a:effectLst/>
          </c:spPr>
        </c:majorGridlines>
        <c:numFmt formatCode="General" sourceLinked="1"/>
        <c:majorTickMark val="out"/>
        <c:minorTickMark val="none"/>
        <c:tickLblPos val="nextTo"/>
        <c:crossAx val="471501400"/>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374567901234571"/>
        </c:manualLayout>
      </c:layout>
      <c:scatterChart>
        <c:scatterStyle val="lineMarker"/>
        <c:varyColors val="0"/>
        <c:ser>
          <c:idx val="0"/>
          <c:order val="0"/>
          <c:tx>
            <c:strRef>
              <c:f>'Beispiel 1'!$T$31</c:f>
              <c:strCache>
                <c:ptCount val="1"/>
                <c:pt idx="0">
                  <c:v>Wand 1</c:v>
                </c:pt>
              </c:strCache>
            </c:strRef>
          </c:tx>
          <c:spPr>
            <a:ln w="12700" cap="rnd">
              <a:solidFill>
                <a:schemeClr val="tx1"/>
              </a:solidFill>
              <a:round/>
            </a:ln>
            <a:effectLst/>
          </c:spPr>
          <c:marker>
            <c:symbol val="none"/>
          </c:marker>
          <c:xVal>
            <c:numRef>
              <c:f>'Beispiel 1'!$AE$31:$AJ$31</c:f>
              <c:numCache>
                <c:formatCode>General</c:formatCode>
                <c:ptCount val="6"/>
                <c:pt idx="0">
                  <c:v>1.6</c:v>
                </c:pt>
                <c:pt idx="1">
                  <c:v>1.6</c:v>
                </c:pt>
                <c:pt idx="2">
                  <c:v>-1.6</c:v>
                </c:pt>
                <c:pt idx="3">
                  <c:v>-1.6</c:v>
                </c:pt>
                <c:pt idx="4">
                  <c:v>1.6</c:v>
                </c:pt>
                <c:pt idx="5">
                  <c:v>1.6</c:v>
                </c:pt>
              </c:numCache>
            </c:numRef>
          </c:xVal>
          <c:yVal>
            <c:numRef>
              <c:f>'Beispiel 1'!$V$32:$AA$32</c:f>
              <c:numCache>
                <c:formatCode>General</c:formatCode>
                <c:ptCount val="6"/>
                <c:pt idx="0">
                  <c:v>0</c:v>
                </c:pt>
                <c:pt idx="1">
                  <c:v>2.5</c:v>
                </c:pt>
                <c:pt idx="2">
                  <c:v>2.5</c:v>
                </c:pt>
                <c:pt idx="3">
                  <c:v>0</c:v>
                </c:pt>
                <c:pt idx="4">
                  <c:v>0</c:v>
                </c:pt>
                <c:pt idx="5">
                  <c:v>1.25</c:v>
                </c:pt>
              </c:numCache>
            </c:numRef>
          </c:yVal>
          <c:smooth val="0"/>
          <c:extLst>
            <c:ext xmlns:c16="http://schemas.microsoft.com/office/drawing/2014/chart" uri="{C3380CC4-5D6E-409C-BE32-E72D297353CC}">
              <c16:uniqueId val="{00000000-BCFF-410B-A79A-0B33145E2FCC}"/>
            </c:ext>
          </c:extLst>
        </c:ser>
        <c:ser>
          <c:idx val="1"/>
          <c:order val="1"/>
          <c:tx>
            <c:strRef>
              <c:f>'Beispiel 1'!$T$33</c:f>
              <c:strCache>
                <c:ptCount val="1"/>
                <c:pt idx="0">
                  <c:v>Wand 2</c:v>
                </c:pt>
              </c:strCache>
            </c:strRef>
          </c:tx>
          <c:spPr>
            <a:ln w="12700" cap="rnd">
              <a:solidFill>
                <a:srgbClr val="B30000"/>
              </a:solidFill>
              <a:round/>
            </a:ln>
            <a:effectLst/>
          </c:spPr>
          <c:marker>
            <c:symbol val="none"/>
          </c:marker>
          <c:xVal>
            <c:numRef>
              <c:f>'Beispiel 1'!$AE$33:$AJ$33</c:f>
              <c:numCache>
                <c:formatCode>General</c:formatCode>
                <c:ptCount val="6"/>
                <c:pt idx="0">
                  <c:v>1</c:v>
                </c:pt>
                <c:pt idx="1">
                  <c:v>1</c:v>
                </c:pt>
                <c:pt idx="2">
                  <c:v>-1</c:v>
                </c:pt>
                <c:pt idx="3">
                  <c:v>-1</c:v>
                </c:pt>
                <c:pt idx="4">
                  <c:v>1</c:v>
                </c:pt>
                <c:pt idx="5">
                  <c:v>1</c:v>
                </c:pt>
              </c:numCache>
            </c:numRef>
          </c:xVal>
          <c:yVal>
            <c:numRef>
              <c:f>'Beispiel 1'!$V$34:$AA$34</c:f>
              <c:numCache>
                <c:formatCode>General</c:formatCode>
                <c:ptCount val="6"/>
                <c:pt idx="0">
                  <c:v>2.7</c:v>
                </c:pt>
                <c:pt idx="1">
                  <c:v>5.3450000000000006</c:v>
                </c:pt>
                <c:pt idx="2">
                  <c:v>5.3450000000000006</c:v>
                </c:pt>
                <c:pt idx="3">
                  <c:v>2.7</c:v>
                </c:pt>
                <c:pt idx="4">
                  <c:v>2.7</c:v>
                </c:pt>
                <c:pt idx="5">
                  <c:v>4.0225</c:v>
                </c:pt>
              </c:numCache>
            </c:numRef>
          </c:yVal>
          <c:smooth val="0"/>
          <c:extLst>
            <c:ext xmlns:c16="http://schemas.microsoft.com/office/drawing/2014/chart" uri="{C3380CC4-5D6E-409C-BE32-E72D297353CC}">
              <c16:uniqueId val="{00000001-BCFF-410B-A79A-0B33145E2FCC}"/>
            </c:ext>
          </c:extLst>
        </c:ser>
        <c:ser>
          <c:idx val="2"/>
          <c:order val="2"/>
          <c:tx>
            <c:strRef>
              <c:f>'Beispiel 1'!$T$35</c:f>
              <c:strCache>
                <c:ptCount val="1"/>
                <c:pt idx="0">
                  <c:v>Wand 3</c:v>
                </c:pt>
              </c:strCache>
            </c:strRef>
          </c:tx>
          <c:spPr>
            <a:ln w="12700" cap="rnd">
              <a:solidFill>
                <a:schemeClr val="tx1"/>
              </a:solidFill>
              <a:round/>
            </a:ln>
            <a:effectLst/>
          </c:spPr>
          <c:marker>
            <c:symbol val="none"/>
          </c:marker>
          <c:dPt>
            <c:idx val="2"/>
            <c:marker>
              <c:symbol val="none"/>
            </c:marker>
            <c:bubble3D val="0"/>
            <c:extLst>
              <c:ext xmlns:c16="http://schemas.microsoft.com/office/drawing/2014/chart" uri="{C3380CC4-5D6E-409C-BE32-E72D297353CC}">
                <c16:uniqueId val="{00000002-BCFF-410B-A79A-0B33145E2FCC}"/>
              </c:ext>
            </c:extLst>
          </c:dPt>
          <c:xVal>
            <c:numRef>
              <c:f>'Beispiel 1'!$AE$35:$AJ$35</c:f>
              <c:numCache>
                <c:formatCode>General</c:formatCode>
                <c:ptCount val="6"/>
                <c:pt idx="0">
                  <c:v>1</c:v>
                </c:pt>
                <c:pt idx="1">
                  <c:v>1</c:v>
                </c:pt>
                <c:pt idx="2">
                  <c:v>-1</c:v>
                </c:pt>
                <c:pt idx="3">
                  <c:v>-1</c:v>
                </c:pt>
                <c:pt idx="4">
                  <c:v>1</c:v>
                </c:pt>
                <c:pt idx="5">
                  <c:v>1</c:v>
                </c:pt>
              </c:numCache>
            </c:numRef>
          </c:xVal>
          <c:yVal>
            <c:numRef>
              <c:f>'Beispiel 1'!$V$36:$AA$36</c:f>
              <c:numCache>
                <c:formatCode>General</c:formatCode>
                <c:ptCount val="6"/>
                <c:pt idx="0">
                  <c:v>5.5450000000000008</c:v>
                </c:pt>
                <c:pt idx="1">
                  <c:v>8.1900000000000013</c:v>
                </c:pt>
                <c:pt idx="2">
                  <c:v>8.1900000000000013</c:v>
                </c:pt>
                <c:pt idx="3">
                  <c:v>5.5450000000000008</c:v>
                </c:pt>
                <c:pt idx="4">
                  <c:v>5.5450000000000008</c:v>
                </c:pt>
                <c:pt idx="5">
                  <c:v>6.8675000000000006</c:v>
                </c:pt>
              </c:numCache>
            </c:numRef>
          </c:yVal>
          <c:smooth val="0"/>
          <c:extLst>
            <c:ext xmlns:c16="http://schemas.microsoft.com/office/drawing/2014/chart" uri="{C3380CC4-5D6E-409C-BE32-E72D297353CC}">
              <c16:uniqueId val="{00000003-BCFF-410B-A79A-0B33145E2FCC}"/>
            </c:ext>
          </c:extLst>
        </c:ser>
        <c:ser>
          <c:idx val="3"/>
          <c:order val="3"/>
          <c:tx>
            <c:strRef>
              <c:f>'Beispiel 1'!$T$38</c:f>
              <c:strCache>
                <c:ptCount val="1"/>
                <c:pt idx="0">
                  <c:v>Decke 1</c:v>
                </c:pt>
              </c:strCache>
            </c:strRef>
          </c:tx>
          <c:spPr>
            <a:ln w="12700" cap="rnd">
              <a:solidFill>
                <a:schemeClr val="tx1"/>
              </a:solidFill>
              <a:round/>
            </a:ln>
            <a:effectLst/>
          </c:spPr>
          <c:marker>
            <c:symbol val="none"/>
          </c:marker>
          <c:xVal>
            <c:numRef>
              <c:f>'Beispiel 1'!$AE$38:$AJ$38</c:f>
              <c:numCache>
                <c:formatCode>General</c:formatCode>
                <c:ptCount val="6"/>
                <c:pt idx="0">
                  <c:v>-1.6</c:v>
                </c:pt>
                <c:pt idx="1">
                  <c:v>1.6</c:v>
                </c:pt>
                <c:pt idx="2">
                  <c:v>1.6</c:v>
                </c:pt>
                <c:pt idx="3">
                  <c:v>-1.6</c:v>
                </c:pt>
                <c:pt idx="4">
                  <c:v>-1.6</c:v>
                </c:pt>
                <c:pt idx="5">
                  <c:v>0.8</c:v>
                </c:pt>
              </c:numCache>
            </c:numRef>
          </c:xVal>
          <c:yVal>
            <c:numRef>
              <c:f>'Beispiel 1'!$AE$39:$AJ$39</c:f>
              <c:numCache>
                <c:formatCode>General</c:formatCode>
                <c:ptCount val="6"/>
                <c:pt idx="0">
                  <c:v>2.5</c:v>
                </c:pt>
                <c:pt idx="1">
                  <c:v>2.5</c:v>
                </c:pt>
                <c:pt idx="2">
                  <c:v>2.7</c:v>
                </c:pt>
                <c:pt idx="3">
                  <c:v>2.7</c:v>
                </c:pt>
                <c:pt idx="4">
                  <c:v>2.5</c:v>
                </c:pt>
                <c:pt idx="5">
                  <c:v>2.5</c:v>
                </c:pt>
              </c:numCache>
            </c:numRef>
          </c:yVal>
          <c:smooth val="0"/>
          <c:extLst>
            <c:ext xmlns:c16="http://schemas.microsoft.com/office/drawing/2014/chart" uri="{C3380CC4-5D6E-409C-BE32-E72D297353CC}">
              <c16:uniqueId val="{00000004-BCFF-410B-A79A-0B33145E2FCC}"/>
            </c:ext>
          </c:extLst>
        </c:ser>
        <c:ser>
          <c:idx val="4"/>
          <c:order val="4"/>
          <c:tx>
            <c:strRef>
              <c:f>'Beispiel 1'!$T$40</c:f>
              <c:strCache>
                <c:ptCount val="1"/>
                <c:pt idx="0">
                  <c:v>Decke 2</c:v>
                </c:pt>
              </c:strCache>
            </c:strRef>
          </c:tx>
          <c:spPr>
            <a:ln w="12700" cap="rnd">
              <a:solidFill>
                <a:schemeClr val="tx1"/>
              </a:solidFill>
              <a:round/>
            </a:ln>
            <a:effectLst/>
          </c:spPr>
          <c:marker>
            <c:symbol val="none"/>
          </c:marker>
          <c:xVal>
            <c:numRef>
              <c:f>'Beispiel 1'!$AE$40:$AJ$40</c:f>
              <c:numCache>
                <c:formatCode>General</c:formatCode>
                <c:ptCount val="6"/>
                <c:pt idx="0">
                  <c:v>-1.6</c:v>
                </c:pt>
                <c:pt idx="1">
                  <c:v>1.6</c:v>
                </c:pt>
                <c:pt idx="2">
                  <c:v>1.6</c:v>
                </c:pt>
                <c:pt idx="3">
                  <c:v>-1.6</c:v>
                </c:pt>
                <c:pt idx="4">
                  <c:v>-1.6</c:v>
                </c:pt>
                <c:pt idx="5">
                  <c:v>0.5</c:v>
                </c:pt>
              </c:numCache>
            </c:numRef>
          </c:xVal>
          <c:yVal>
            <c:numRef>
              <c:f>'Beispiel 1'!$AE$41:$AJ$41</c:f>
              <c:numCache>
                <c:formatCode>General</c:formatCode>
                <c:ptCount val="6"/>
                <c:pt idx="0">
                  <c:v>5.3450000000000006</c:v>
                </c:pt>
                <c:pt idx="1">
                  <c:v>5.3450000000000006</c:v>
                </c:pt>
                <c:pt idx="2">
                  <c:v>5.5450000000000008</c:v>
                </c:pt>
                <c:pt idx="3">
                  <c:v>5.5450000000000008</c:v>
                </c:pt>
                <c:pt idx="4">
                  <c:v>5.3450000000000006</c:v>
                </c:pt>
                <c:pt idx="5">
                  <c:v>5.3450000000000006</c:v>
                </c:pt>
              </c:numCache>
            </c:numRef>
          </c:yVal>
          <c:smooth val="0"/>
          <c:extLst>
            <c:ext xmlns:c16="http://schemas.microsoft.com/office/drawing/2014/chart" uri="{C3380CC4-5D6E-409C-BE32-E72D297353CC}">
              <c16:uniqueId val="{00000005-BCFF-410B-A79A-0B33145E2FCC}"/>
            </c:ext>
          </c:extLst>
        </c:ser>
        <c:ser>
          <c:idx val="11"/>
          <c:order val="5"/>
          <c:tx>
            <c:strRef>
              <c:f>'Beispiel 1'!$T$46</c:f>
              <c:strCache>
                <c:ptCount val="1"/>
                <c:pt idx="0">
                  <c:v>Outline</c:v>
                </c:pt>
              </c:strCache>
            </c:strRef>
          </c:tx>
          <c:spPr>
            <a:ln w="19050" cap="rnd">
              <a:noFill/>
              <a:round/>
            </a:ln>
            <a:effectLst/>
          </c:spPr>
          <c:marker>
            <c:symbol val="none"/>
          </c:marker>
          <c:xVal>
            <c:numRef>
              <c:f>'Beispiel 1'!$AE$46:$AF$46</c:f>
              <c:numCache>
                <c:formatCode>General</c:formatCode>
                <c:ptCount val="2"/>
                <c:pt idx="0">
                  <c:v>9.0090000000000021</c:v>
                </c:pt>
                <c:pt idx="1">
                  <c:v>-9.0090000000000021</c:v>
                </c:pt>
              </c:numCache>
            </c:numRef>
          </c:xVal>
          <c:yVal>
            <c:numRef>
              <c:f>'Beispiel 1'!$AE$47:$AF$47</c:f>
              <c:numCache>
                <c:formatCode>General</c:formatCode>
                <c:ptCount val="2"/>
                <c:pt idx="0">
                  <c:v>9.0090000000000021</c:v>
                </c:pt>
                <c:pt idx="1">
                  <c:v>9.0090000000000021</c:v>
                </c:pt>
              </c:numCache>
            </c:numRef>
          </c:yVal>
          <c:smooth val="0"/>
          <c:extLst>
            <c:ext xmlns:c16="http://schemas.microsoft.com/office/drawing/2014/chart" uri="{C3380CC4-5D6E-409C-BE32-E72D297353CC}">
              <c16:uniqueId val="{00000006-BCFF-410B-A79A-0B33145E2FCC}"/>
            </c:ext>
          </c:extLst>
        </c:ser>
        <c:ser>
          <c:idx val="5"/>
          <c:order val="6"/>
          <c:tx>
            <c:strRef>
              <c:f>'Beispiel 1'!$AD$50</c:f>
              <c:strCache>
                <c:ptCount val="1"/>
                <c:pt idx="0">
                  <c:v>Fixed edges</c:v>
                </c:pt>
              </c:strCache>
            </c:strRef>
          </c:tx>
          <c:spPr>
            <a:ln w="22225" cap="rnd">
              <a:solidFill>
                <a:srgbClr val="C00000"/>
              </a:solidFill>
              <a:prstDash val="sysDash"/>
              <a:round/>
            </a:ln>
            <a:effectLst/>
          </c:spPr>
          <c:marker>
            <c:symbol val="none"/>
          </c:marker>
          <c:xVal>
            <c:numRef>
              <c:f>'Beispiel 1'!$AE$51:$AF$51</c:f>
              <c:numCache>
                <c:formatCode>General</c:formatCode>
                <c:ptCount val="2"/>
                <c:pt idx="0">
                  <c:v>0</c:v>
                </c:pt>
                <c:pt idx="1">
                  <c:v>0</c:v>
                </c:pt>
              </c:numCache>
            </c:numRef>
          </c:xVal>
          <c:yVal>
            <c:numRef>
              <c:f>'Beispiel 1'!$AE$52:$AF$52</c:f>
              <c:numCache>
                <c:formatCode>General</c:formatCode>
                <c:ptCount val="2"/>
                <c:pt idx="0">
                  <c:v>0</c:v>
                </c:pt>
                <c:pt idx="1">
                  <c:v>0</c:v>
                </c:pt>
              </c:numCache>
            </c:numRef>
          </c:yVal>
          <c:smooth val="0"/>
          <c:extLst>
            <c:ext xmlns:c16="http://schemas.microsoft.com/office/drawing/2014/chart" uri="{C3380CC4-5D6E-409C-BE32-E72D297353CC}">
              <c16:uniqueId val="{00000007-BCFF-410B-A79A-0B33145E2FCC}"/>
            </c:ext>
          </c:extLst>
        </c:ser>
        <c:ser>
          <c:idx val="6"/>
          <c:order val="7"/>
          <c:tx>
            <c:strRef>
              <c:f>'Beispiel 1'!$AD$50</c:f>
              <c:strCache>
                <c:ptCount val="1"/>
                <c:pt idx="0">
                  <c:v>Fixed edges</c:v>
                </c:pt>
              </c:strCache>
            </c:strRef>
          </c:tx>
          <c:spPr>
            <a:ln w="22225" cap="rnd" cmpd="sng">
              <a:solidFill>
                <a:srgbClr val="C00000"/>
              </a:solidFill>
              <a:prstDash val="sysDash"/>
              <a:round/>
            </a:ln>
            <a:effectLst/>
          </c:spPr>
          <c:marker>
            <c:symbol val="none"/>
          </c:marker>
          <c:xVal>
            <c:numRef>
              <c:f>'Beispiel 1'!$AE$53:$AF$53</c:f>
              <c:numCache>
                <c:formatCode>General</c:formatCode>
                <c:ptCount val="2"/>
                <c:pt idx="0">
                  <c:v>0</c:v>
                </c:pt>
                <c:pt idx="1">
                  <c:v>0</c:v>
                </c:pt>
              </c:numCache>
            </c:numRef>
          </c:xVal>
          <c:yVal>
            <c:numRef>
              <c:f>'Beispiel 1'!$AE$54:$AF$54</c:f>
              <c:numCache>
                <c:formatCode>General</c:formatCode>
                <c:ptCount val="2"/>
                <c:pt idx="0">
                  <c:v>0</c:v>
                </c:pt>
                <c:pt idx="1">
                  <c:v>0</c:v>
                </c:pt>
              </c:numCache>
            </c:numRef>
          </c:yVal>
          <c:smooth val="0"/>
          <c:extLst>
            <c:ext xmlns:c16="http://schemas.microsoft.com/office/drawing/2014/chart" uri="{C3380CC4-5D6E-409C-BE32-E72D297353CC}">
              <c16:uniqueId val="{00000008-BCFF-410B-A79A-0B33145E2FCC}"/>
            </c:ext>
          </c:extLst>
        </c:ser>
        <c:dLbls>
          <c:showLegendKey val="0"/>
          <c:showVal val="0"/>
          <c:showCatName val="0"/>
          <c:showSerName val="0"/>
          <c:showPercent val="0"/>
          <c:showBubbleSize val="0"/>
        </c:dLbls>
        <c:axId val="471500224"/>
        <c:axId val="471503360"/>
      </c:scatterChart>
      <c:valAx>
        <c:axId val="471500224"/>
        <c:scaling>
          <c:orientation val="minMax"/>
        </c:scaling>
        <c:delete val="0"/>
        <c:axPos val="b"/>
        <c:majorGridlines>
          <c:spPr>
            <a:ln w="9525" cap="flat" cmpd="sng" algn="ctr">
              <a:noFill/>
              <a:round/>
            </a:ln>
            <a:effectLst/>
          </c:spPr>
        </c:majorGridlines>
        <c:numFmt formatCode="General" sourceLinked="1"/>
        <c:majorTickMark val="none"/>
        <c:minorTickMark val="none"/>
        <c:tickLblPos val="none"/>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3360"/>
        <c:crosses val="autoZero"/>
        <c:crossBetween val="midCat"/>
        <c:majorUnit val="2"/>
      </c:valAx>
      <c:valAx>
        <c:axId val="471503360"/>
        <c:scaling>
          <c:orientation val="minMax"/>
          <c:min val="0"/>
        </c:scaling>
        <c:delete val="1"/>
        <c:axPos val="l"/>
        <c:majorGridlines>
          <c:spPr>
            <a:ln w="9525" cap="flat" cmpd="sng" algn="ctr">
              <a:noFill/>
              <a:round/>
            </a:ln>
            <a:effectLst/>
          </c:spPr>
        </c:majorGridlines>
        <c:numFmt formatCode="General" sourceLinked="1"/>
        <c:majorTickMark val="out"/>
        <c:minorTickMark val="none"/>
        <c:tickLblPos val="nextTo"/>
        <c:crossAx val="471500224"/>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196388888888891"/>
        </c:manualLayout>
      </c:layout>
      <c:scatterChart>
        <c:scatterStyle val="lineMarker"/>
        <c:varyColors val="0"/>
        <c:ser>
          <c:idx val="0"/>
          <c:order val="0"/>
          <c:tx>
            <c:strRef>
              <c:f>'Beispiel 2'!$T$31</c:f>
              <c:strCache>
                <c:ptCount val="1"/>
                <c:pt idx="0">
                  <c:v>Wand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5A08-47DA-80DC-BA04D49A7458}"/>
                </c:ext>
              </c:extLst>
            </c:dLbl>
            <c:dLbl>
              <c:idx val="1"/>
              <c:delete val="1"/>
              <c:extLst>
                <c:ext xmlns:c15="http://schemas.microsoft.com/office/drawing/2012/chart" uri="{CE6537A1-D6FC-4f65-9D91-7224C49458BB}"/>
                <c:ext xmlns:c16="http://schemas.microsoft.com/office/drawing/2014/chart" uri="{C3380CC4-5D6E-409C-BE32-E72D297353CC}">
                  <c16:uniqueId val="{00000001-5A08-47DA-80DC-BA04D49A7458}"/>
                </c:ext>
              </c:extLst>
            </c:dLbl>
            <c:dLbl>
              <c:idx val="2"/>
              <c:delete val="1"/>
              <c:extLst>
                <c:ext xmlns:c15="http://schemas.microsoft.com/office/drawing/2012/chart" uri="{CE6537A1-D6FC-4f65-9D91-7224C49458BB}"/>
                <c:ext xmlns:c16="http://schemas.microsoft.com/office/drawing/2014/chart" uri="{C3380CC4-5D6E-409C-BE32-E72D297353CC}">
                  <c16:uniqueId val="{00000002-5A08-47DA-80DC-BA04D49A7458}"/>
                </c:ext>
              </c:extLst>
            </c:dLbl>
            <c:dLbl>
              <c:idx val="3"/>
              <c:delete val="1"/>
              <c:extLst>
                <c:ext xmlns:c15="http://schemas.microsoft.com/office/drawing/2012/chart" uri="{CE6537A1-D6FC-4f65-9D91-7224C49458BB}"/>
                <c:ext xmlns:c16="http://schemas.microsoft.com/office/drawing/2014/chart" uri="{C3380CC4-5D6E-409C-BE32-E72D297353CC}">
                  <c16:uniqueId val="{00000003-5A08-47DA-80DC-BA04D49A7458}"/>
                </c:ext>
              </c:extLst>
            </c:dLbl>
            <c:dLbl>
              <c:idx val="4"/>
              <c:delete val="1"/>
              <c:extLst>
                <c:ext xmlns:c15="http://schemas.microsoft.com/office/drawing/2012/chart" uri="{CE6537A1-D6FC-4f65-9D91-7224C49458BB}"/>
                <c:ext xmlns:c16="http://schemas.microsoft.com/office/drawing/2014/chart" uri="{C3380CC4-5D6E-409C-BE32-E72D297353CC}">
                  <c16:uniqueId val="{00000004-5A08-47DA-80DC-BA04D49A745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2'!$V$31:$AA$31</c:f>
              <c:numCache>
                <c:formatCode>General</c:formatCode>
                <c:ptCount val="6"/>
                <c:pt idx="0">
                  <c:v>0.125</c:v>
                </c:pt>
                <c:pt idx="1">
                  <c:v>0.125</c:v>
                </c:pt>
                <c:pt idx="2">
                  <c:v>-0.125</c:v>
                </c:pt>
                <c:pt idx="3">
                  <c:v>-0.125</c:v>
                </c:pt>
                <c:pt idx="4">
                  <c:v>0.125</c:v>
                </c:pt>
                <c:pt idx="5">
                  <c:v>0.125</c:v>
                </c:pt>
              </c:numCache>
            </c:numRef>
          </c:xVal>
          <c:yVal>
            <c:numRef>
              <c:f>'Beispiel 2'!$V$32:$AA$32</c:f>
              <c:numCache>
                <c:formatCode>General</c:formatCode>
                <c:ptCount val="6"/>
                <c:pt idx="0">
                  <c:v>0</c:v>
                </c:pt>
                <c:pt idx="1">
                  <c:v>2.5</c:v>
                </c:pt>
                <c:pt idx="2">
                  <c:v>2.5</c:v>
                </c:pt>
                <c:pt idx="3">
                  <c:v>0</c:v>
                </c:pt>
                <c:pt idx="4">
                  <c:v>0</c:v>
                </c:pt>
                <c:pt idx="5">
                  <c:v>1.25</c:v>
                </c:pt>
              </c:numCache>
            </c:numRef>
          </c:yVal>
          <c:smooth val="0"/>
          <c:extLst>
            <c:ext xmlns:c16="http://schemas.microsoft.com/office/drawing/2014/chart" uri="{C3380CC4-5D6E-409C-BE32-E72D297353CC}">
              <c16:uniqueId val="{00000005-5A08-47DA-80DC-BA04D49A7458}"/>
            </c:ext>
          </c:extLst>
        </c:ser>
        <c:ser>
          <c:idx val="1"/>
          <c:order val="1"/>
          <c:tx>
            <c:strRef>
              <c:f>'Beispiel 2'!$T$33</c:f>
              <c:strCache>
                <c:ptCount val="1"/>
                <c:pt idx="0">
                  <c:v>Wand 2</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5A08-47DA-80DC-BA04D49A7458}"/>
                </c:ext>
              </c:extLst>
            </c:dLbl>
            <c:dLbl>
              <c:idx val="1"/>
              <c:delete val="1"/>
              <c:extLst>
                <c:ext xmlns:c15="http://schemas.microsoft.com/office/drawing/2012/chart" uri="{CE6537A1-D6FC-4f65-9D91-7224C49458BB}"/>
                <c:ext xmlns:c16="http://schemas.microsoft.com/office/drawing/2014/chart" uri="{C3380CC4-5D6E-409C-BE32-E72D297353CC}">
                  <c16:uniqueId val="{00000007-5A08-47DA-80DC-BA04D49A7458}"/>
                </c:ext>
              </c:extLst>
            </c:dLbl>
            <c:dLbl>
              <c:idx val="2"/>
              <c:delete val="1"/>
              <c:extLst>
                <c:ext xmlns:c15="http://schemas.microsoft.com/office/drawing/2012/chart" uri="{CE6537A1-D6FC-4f65-9D91-7224C49458BB}"/>
                <c:ext xmlns:c16="http://schemas.microsoft.com/office/drawing/2014/chart" uri="{C3380CC4-5D6E-409C-BE32-E72D297353CC}">
                  <c16:uniqueId val="{00000008-5A08-47DA-80DC-BA04D49A7458}"/>
                </c:ext>
              </c:extLst>
            </c:dLbl>
            <c:dLbl>
              <c:idx val="3"/>
              <c:delete val="1"/>
              <c:extLst>
                <c:ext xmlns:c15="http://schemas.microsoft.com/office/drawing/2012/chart" uri="{CE6537A1-D6FC-4f65-9D91-7224C49458BB}"/>
                <c:ext xmlns:c16="http://schemas.microsoft.com/office/drawing/2014/chart" uri="{C3380CC4-5D6E-409C-BE32-E72D297353CC}">
                  <c16:uniqueId val="{00000009-5A08-47DA-80DC-BA04D49A7458}"/>
                </c:ext>
              </c:extLst>
            </c:dLbl>
            <c:dLbl>
              <c:idx val="4"/>
              <c:delete val="1"/>
              <c:extLst>
                <c:ext xmlns:c15="http://schemas.microsoft.com/office/drawing/2012/chart" uri="{CE6537A1-D6FC-4f65-9D91-7224C49458BB}"/>
                <c:ext xmlns:c16="http://schemas.microsoft.com/office/drawing/2014/chart" uri="{C3380CC4-5D6E-409C-BE32-E72D297353CC}">
                  <c16:uniqueId val="{0000000A-5A08-47DA-80DC-BA04D49A745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2'!$V$33:$AA$33</c:f>
              <c:numCache>
                <c:formatCode>General</c:formatCode>
                <c:ptCount val="6"/>
                <c:pt idx="0">
                  <c:v>0.21249999999999999</c:v>
                </c:pt>
                <c:pt idx="1">
                  <c:v>0.21249999999999999</c:v>
                </c:pt>
                <c:pt idx="2">
                  <c:v>-0.21249999999999999</c:v>
                </c:pt>
                <c:pt idx="3">
                  <c:v>-0.21249999999999999</c:v>
                </c:pt>
                <c:pt idx="4">
                  <c:v>0.21249999999999999</c:v>
                </c:pt>
                <c:pt idx="5">
                  <c:v>0.21249999999999999</c:v>
                </c:pt>
              </c:numCache>
            </c:numRef>
          </c:xVal>
          <c:yVal>
            <c:numRef>
              <c:f>'Beispiel 2'!$V$34:$AA$34</c:f>
              <c:numCache>
                <c:formatCode>General</c:formatCode>
                <c:ptCount val="6"/>
                <c:pt idx="0">
                  <c:v>2.7</c:v>
                </c:pt>
                <c:pt idx="1">
                  <c:v>5.3450000000000006</c:v>
                </c:pt>
                <c:pt idx="2">
                  <c:v>5.3450000000000006</c:v>
                </c:pt>
                <c:pt idx="3">
                  <c:v>2.7</c:v>
                </c:pt>
                <c:pt idx="4">
                  <c:v>2.7</c:v>
                </c:pt>
                <c:pt idx="5">
                  <c:v>4.0225</c:v>
                </c:pt>
              </c:numCache>
            </c:numRef>
          </c:yVal>
          <c:smooth val="0"/>
          <c:extLst>
            <c:ext xmlns:c16="http://schemas.microsoft.com/office/drawing/2014/chart" uri="{C3380CC4-5D6E-409C-BE32-E72D297353CC}">
              <c16:uniqueId val="{0000000B-5A08-47DA-80DC-BA04D49A7458}"/>
            </c:ext>
          </c:extLst>
        </c:ser>
        <c:ser>
          <c:idx val="2"/>
          <c:order val="2"/>
          <c:tx>
            <c:strRef>
              <c:f>'Beispiel 2'!$T$35</c:f>
              <c:strCache>
                <c:ptCount val="1"/>
                <c:pt idx="0">
                  <c:v>Wand 3</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5A08-47DA-80DC-BA04D49A7458}"/>
                </c:ext>
              </c:extLst>
            </c:dLbl>
            <c:dLbl>
              <c:idx val="1"/>
              <c:delete val="1"/>
              <c:extLst>
                <c:ext xmlns:c15="http://schemas.microsoft.com/office/drawing/2012/chart" uri="{CE6537A1-D6FC-4f65-9D91-7224C49458BB}"/>
                <c:ext xmlns:c16="http://schemas.microsoft.com/office/drawing/2014/chart" uri="{C3380CC4-5D6E-409C-BE32-E72D297353CC}">
                  <c16:uniqueId val="{0000000D-5A08-47DA-80DC-BA04D49A7458}"/>
                </c:ext>
              </c:extLst>
            </c:dLbl>
            <c:dLbl>
              <c:idx val="2"/>
              <c:delete val="1"/>
              <c:extLst>
                <c:ext xmlns:c15="http://schemas.microsoft.com/office/drawing/2012/chart" uri="{CE6537A1-D6FC-4f65-9D91-7224C49458BB}"/>
                <c:ext xmlns:c16="http://schemas.microsoft.com/office/drawing/2014/chart" uri="{C3380CC4-5D6E-409C-BE32-E72D297353CC}">
                  <c16:uniqueId val="{0000000E-5A08-47DA-80DC-BA04D49A7458}"/>
                </c:ext>
              </c:extLst>
            </c:dLbl>
            <c:dLbl>
              <c:idx val="3"/>
              <c:delete val="1"/>
              <c:extLst>
                <c:ext xmlns:c15="http://schemas.microsoft.com/office/drawing/2012/chart" uri="{CE6537A1-D6FC-4f65-9D91-7224C49458BB}"/>
                <c:ext xmlns:c16="http://schemas.microsoft.com/office/drawing/2014/chart" uri="{C3380CC4-5D6E-409C-BE32-E72D297353CC}">
                  <c16:uniqueId val="{0000000F-5A08-47DA-80DC-BA04D49A7458}"/>
                </c:ext>
              </c:extLst>
            </c:dLbl>
            <c:dLbl>
              <c:idx val="4"/>
              <c:delete val="1"/>
              <c:extLst>
                <c:ext xmlns:c15="http://schemas.microsoft.com/office/drawing/2012/chart" uri="{CE6537A1-D6FC-4f65-9D91-7224C49458BB}"/>
                <c:ext xmlns:c16="http://schemas.microsoft.com/office/drawing/2014/chart" uri="{C3380CC4-5D6E-409C-BE32-E72D297353CC}">
                  <c16:uniqueId val="{00000010-5A08-47DA-80DC-BA04D49A745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2'!$V$35:$AA$35</c:f>
              <c:numCache>
                <c:formatCode>General</c:formatCode>
                <c:ptCount val="6"/>
                <c:pt idx="0">
                  <c:v>0.1825</c:v>
                </c:pt>
                <c:pt idx="1">
                  <c:v>0.1825</c:v>
                </c:pt>
                <c:pt idx="2">
                  <c:v>-0.1825</c:v>
                </c:pt>
                <c:pt idx="3">
                  <c:v>-0.1825</c:v>
                </c:pt>
                <c:pt idx="4">
                  <c:v>0.1825</c:v>
                </c:pt>
                <c:pt idx="5">
                  <c:v>0.1825</c:v>
                </c:pt>
              </c:numCache>
            </c:numRef>
          </c:xVal>
          <c:yVal>
            <c:numRef>
              <c:f>'Beispiel 2'!$V$36:$AA$36</c:f>
              <c:numCache>
                <c:formatCode>General</c:formatCode>
                <c:ptCount val="6"/>
                <c:pt idx="0">
                  <c:v>5.5450000000000008</c:v>
                </c:pt>
                <c:pt idx="1">
                  <c:v>8.1900000000000013</c:v>
                </c:pt>
                <c:pt idx="2">
                  <c:v>8.1900000000000013</c:v>
                </c:pt>
                <c:pt idx="3">
                  <c:v>5.5450000000000008</c:v>
                </c:pt>
                <c:pt idx="4">
                  <c:v>5.5450000000000008</c:v>
                </c:pt>
                <c:pt idx="5">
                  <c:v>6.8675000000000006</c:v>
                </c:pt>
              </c:numCache>
            </c:numRef>
          </c:yVal>
          <c:smooth val="0"/>
          <c:extLst>
            <c:ext xmlns:c16="http://schemas.microsoft.com/office/drawing/2014/chart" uri="{C3380CC4-5D6E-409C-BE32-E72D297353CC}">
              <c16:uniqueId val="{00000011-5A08-47DA-80DC-BA04D49A7458}"/>
            </c:ext>
          </c:extLst>
        </c:ser>
        <c:ser>
          <c:idx val="3"/>
          <c:order val="3"/>
          <c:tx>
            <c:strRef>
              <c:f>'Beispiel 2'!$T$38</c:f>
              <c:strCache>
                <c:ptCount val="1"/>
                <c:pt idx="0">
                  <c:v>Decke 1</c:v>
                </c:pt>
              </c:strCache>
            </c:strRef>
          </c:tx>
          <c:spPr>
            <a:ln w="19050" cap="rnd">
              <a:solidFill>
                <a:schemeClr val="tx1"/>
              </a:solidFill>
              <a:round/>
            </a:ln>
            <a:effectLst/>
          </c:spPr>
          <c:marker>
            <c:symbol val="none"/>
          </c:marker>
          <c:dPt>
            <c:idx val="1"/>
            <c:bubble3D val="0"/>
            <c:extLst>
              <c:ext xmlns:c16="http://schemas.microsoft.com/office/drawing/2014/chart" uri="{C3380CC4-5D6E-409C-BE32-E72D297353CC}">
                <c16:uniqueId val="{00000012-5A08-47DA-80DC-BA04D49A7458}"/>
              </c:ext>
            </c:extLst>
          </c:dPt>
          <c:dLbls>
            <c:dLbl>
              <c:idx val="0"/>
              <c:delete val="1"/>
              <c:extLst>
                <c:ext xmlns:c15="http://schemas.microsoft.com/office/drawing/2012/chart" uri="{CE6537A1-D6FC-4f65-9D91-7224C49458BB}"/>
                <c:ext xmlns:c16="http://schemas.microsoft.com/office/drawing/2014/chart" uri="{C3380CC4-5D6E-409C-BE32-E72D297353CC}">
                  <c16:uniqueId val="{00000013-5A08-47DA-80DC-BA04D49A7458}"/>
                </c:ext>
              </c:extLst>
            </c:dLbl>
            <c:dLbl>
              <c:idx val="1"/>
              <c:delete val="1"/>
              <c:extLst>
                <c:ext xmlns:c15="http://schemas.microsoft.com/office/drawing/2012/chart" uri="{CE6537A1-D6FC-4f65-9D91-7224C49458BB}"/>
                <c:ext xmlns:c16="http://schemas.microsoft.com/office/drawing/2014/chart" uri="{C3380CC4-5D6E-409C-BE32-E72D297353CC}">
                  <c16:uniqueId val="{00000012-5A08-47DA-80DC-BA04D49A7458}"/>
                </c:ext>
              </c:extLst>
            </c:dLbl>
            <c:dLbl>
              <c:idx val="2"/>
              <c:delete val="1"/>
              <c:extLst>
                <c:ext xmlns:c15="http://schemas.microsoft.com/office/drawing/2012/chart" uri="{CE6537A1-D6FC-4f65-9D91-7224C49458BB}"/>
                <c:ext xmlns:c16="http://schemas.microsoft.com/office/drawing/2014/chart" uri="{C3380CC4-5D6E-409C-BE32-E72D297353CC}">
                  <c16:uniqueId val="{00000014-5A08-47DA-80DC-BA04D49A7458}"/>
                </c:ext>
              </c:extLst>
            </c:dLbl>
            <c:dLbl>
              <c:idx val="3"/>
              <c:delete val="1"/>
              <c:extLst>
                <c:ext xmlns:c15="http://schemas.microsoft.com/office/drawing/2012/chart" uri="{CE6537A1-D6FC-4f65-9D91-7224C49458BB}"/>
                <c:ext xmlns:c16="http://schemas.microsoft.com/office/drawing/2014/chart" uri="{C3380CC4-5D6E-409C-BE32-E72D297353CC}">
                  <c16:uniqueId val="{00000015-5A08-47DA-80DC-BA04D49A7458}"/>
                </c:ext>
              </c:extLst>
            </c:dLbl>
            <c:dLbl>
              <c:idx val="5"/>
              <c:delete val="1"/>
              <c:extLst>
                <c:ext xmlns:c15="http://schemas.microsoft.com/office/drawing/2012/chart" uri="{CE6537A1-D6FC-4f65-9D91-7224C49458BB}"/>
                <c:ext xmlns:c16="http://schemas.microsoft.com/office/drawing/2014/chart" uri="{C3380CC4-5D6E-409C-BE32-E72D297353CC}">
                  <c16:uniqueId val="{00000016-5A08-47DA-80DC-BA04D49A7458}"/>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2'!$V$38:$AA$38</c:f>
              <c:numCache>
                <c:formatCode>General</c:formatCode>
                <c:ptCount val="6"/>
                <c:pt idx="0">
                  <c:v>-3.2500000000000001E-2</c:v>
                </c:pt>
                <c:pt idx="1">
                  <c:v>-3.2500000000000001E-2</c:v>
                </c:pt>
                <c:pt idx="2">
                  <c:v>5.7125000000000004</c:v>
                </c:pt>
                <c:pt idx="3">
                  <c:v>5.7125000000000004</c:v>
                </c:pt>
                <c:pt idx="4">
                  <c:v>2.9624999999999999</c:v>
                </c:pt>
                <c:pt idx="5">
                  <c:v>-3.2500000000000001E-2</c:v>
                </c:pt>
              </c:numCache>
            </c:numRef>
          </c:xVal>
          <c:yVal>
            <c:numRef>
              <c:f>'Beispiel 2'!$V$39:$AA$39</c:f>
              <c:numCache>
                <c:formatCode>General</c:formatCode>
                <c:ptCount val="6"/>
                <c:pt idx="0">
                  <c:v>2.5</c:v>
                </c:pt>
                <c:pt idx="1">
                  <c:v>2.7</c:v>
                </c:pt>
                <c:pt idx="2">
                  <c:v>2.7</c:v>
                </c:pt>
                <c:pt idx="3">
                  <c:v>2.5</c:v>
                </c:pt>
                <c:pt idx="4">
                  <c:v>2.5</c:v>
                </c:pt>
                <c:pt idx="5">
                  <c:v>2.5</c:v>
                </c:pt>
              </c:numCache>
            </c:numRef>
          </c:yVal>
          <c:smooth val="0"/>
          <c:extLst>
            <c:ext xmlns:c16="http://schemas.microsoft.com/office/drawing/2014/chart" uri="{C3380CC4-5D6E-409C-BE32-E72D297353CC}">
              <c16:uniqueId val="{00000017-5A08-47DA-80DC-BA04D49A7458}"/>
            </c:ext>
          </c:extLst>
        </c:ser>
        <c:ser>
          <c:idx val="4"/>
          <c:order val="4"/>
          <c:tx>
            <c:strRef>
              <c:f>'Beispiel 2'!$T$40</c:f>
              <c:strCache>
                <c:ptCount val="1"/>
                <c:pt idx="0">
                  <c:v>Decke 2</c:v>
                </c:pt>
              </c:strCache>
            </c:strRef>
          </c:tx>
          <c:spPr>
            <a:ln w="19050" cap="rnd">
              <a:solidFill>
                <a:schemeClr val="tx1"/>
              </a:solidFill>
              <a:round/>
            </a:ln>
            <a:effectLst/>
          </c:spPr>
          <c:marker>
            <c:symbol val="none"/>
          </c:marker>
          <c:dPt>
            <c:idx val="1"/>
            <c:bubble3D val="0"/>
            <c:extLst>
              <c:ext xmlns:c16="http://schemas.microsoft.com/office/drawing/2014/chart" uri="{C3380CC4-5D6E-409C-BE32-E72D297353CC}">
                <c16:uniqueId val="{00000018-5A08-47DA-80DC-BA04D49A7458}"/>
              </c:ext>
            </c:extLst>
          </c:dPt>
          <c:dLbls>
            <c:dLbl>
              <c:idx val="0"/>
              <c:delete val="1"/>
              <c:extLst>
                <c:ext xmlns:c15="http://schemas.microsoft.com/office/drawing/2012/chart" uri="{CE6537A1-D6FC-4f65-9D91-7224C49458BB}"/>
                <c:ext xmlns:c16="http://schemas.microsoft.com/office/drawing/2014/chart" uri="{C3380CC4-5D6E-409C-BE32-E72D297353CC}">
                  <c16:uniqueId val="{00000019-5A08-47DA-80DC-BA04D49A7458}"/>
                </c:ext>
              </c:extLst>
            </c:dLbl>
            <c:dLbl>
              <c:idx val="1"/>
              <c:delete val="1"/>
              <c:extLst>
                <c:ext xmlns:c15="http://schemas.microsoft.com/office/drawing/2012/chart" uri="{CE6537A1-D6FC-4f65-9D91-7224C49458BB}"/>
                <c:ext xmlns:c16="http://schemas.microsoft.com/office/drawing/2014/chart" uri="{C3380CC4-5D6E-409C-BE32-E72D297353CC}">
                  <c16:uniqueId val="{00000018-5A08-47DA-80DC-BA04D49A7458}"/>
                </c:ext>
              </c:extLst>
            </c:dLbl>
            <c:dLbl>
              <c:idx val="2"/>
              <c:delete val="1"/>
              <c:extLst>
                <c:ext xmlns:c15="http://schemas.microsoft.com/office/drawing/2012/chart" uri="{CE6537A1-D6FC-4f65-9D91-7224C49458BB}"/>
                <c:ext xmlns:c16="http://schemas.microsoft.com/office/drawing/2014/chart" uri="{C3380CC4-5D6E-409C-BE32-E72D297353CC}">
                  <c16:uniqueId val="{0000001A-5A08-47DA-80DC-BA04D49A7458}"/>
                </c:ext>
              </c:extLst>
            </c:dLbl>
            <c:dLbl>
              <c:idx val="3"/>
              <c:delete val="1"/>
              <c:extLst>
                <c:ext xmlns:c15="http://schemas.microsoft.com/office/drawing/2012/chart" uri="{CE6537A1-D6FC-4f65-9D91-7224C49458BB}"/>
                <c:ext xmlns:c16="http://schemas.microsoft.com/office/drawing/2014/chart" uri="{C3380CC4-5D6E-409C-BE32-E72D297353CC}">
                  <c16:uniqueId val="{0000001B-5A08-47DA-80DC-BA04D49A7458}"/>
                </c:ext>
              </c:extLst>
            </c:dLbl>
            <c:dLbl>
              <c:idx val="5"/>
              <c:delete val="1"/>
              <c:extLst>
                <c:ext xmlns:c15="http://schemas.microsoft.com/office/drawing/2012/chart" uri="{CE6537A1-D6FC-4f65-9D91-7224C49458BB}"/>
                <c:ext xmlns:c16="http://schemas.microsoft.com/office/drawing/2014/chart" uri="{C3380CC4-5D6E-409C-BE32-E72D297353CC}">
                  <c16:uniqueId val="{0000001C-5A08-47DA-80DC-BA04D49A7458}"/>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2'!$V$40:$AA$40</c:f>
              <c:numCache>
                <c:formatCode>General</c:formatCode>
                <c:ptCount val="6"/>
                <c:pt idx="0">
                  <c:v>-3.2500000000000001E-2</c:v>
                </c:pt>
                <c:pt idx="1">
                  <c:v>-3.2500000000000001E-2</c:v>
                </c:pt>
                <c:pt idx="2">
                  <c:v>5.7125000000000004</c:v>
                </c:pt>
                <c:pt idx="3">
                  <c:v>5.7125000000000004</c:v>
                </c:pt>
                <c:pt idx="4">
                  <c:v>2.9624999999999999</c:v>
                </c:pt>
                <c:pt idx="5">
                  <c:v>-3.2500000000000001E-2</c:v>
                </c:pt>
              </c:numCache>
            </c:numRef>
          </c:xVal>
          <c:yVal>
            <c:numRef>
              <c:f>'Beispiel 2'!$V$41:$AA$41</c:f>
              <c:numCache>
                <c:formatCode>General</c:formatCode>
                <c:ptCount val="6"/>
                <c:pt idx="0">
                  <c:v>5.5450000000000008</c:v>
                </c:pt>
                <c:pt idx="1">
                  <c:v>5.5450000000000008</c:v>
                </c:pt>
                <c:pt idx="2">
                  <c:v>5.5450000000000008</c:v>
                </c:pt>
                <c:pt idx="3">
                  <c:v>5.3450000000000006</c:v>
                </c:pt>
                <c:pt idx="4">
                  <c:v>5.3450000000000006</c:v>
                </c:pt>
                <c:pt idx="5">
                  <c:v>5.3450000000000006</c:v>
                </c:pt>
              </c:numCache>
            </c:numRef>
          </c:yVal>
          <c:smooth val="0"/>
          <c:extLst>
            <c:ext xmlns:c16="http://schemas.microsoft.com/office/drawing/2014/chart" uri="{C3380CC4-5D6E-409C-BE32-E72D297353CC}">
              <c16:uniqueId val="{0000001D-5A08-47DA-80DC-BA04D49A7458}"/>
            </c:ext>
          </c:extLst>
        </c:ser>
        <c:ser>
          <c:idx val="5"/>
          <c:order val="5"/>
          <c:tx>
            <c:strRef>
              <c:f>'Beispiel 2'!$T$42</c:f>
              <c:strCache>
                <c:ptCount val="1"/>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E-5A08-47DA-80DC-BA04D49A7458}"/>
                </c:ext>
              </c:extLst>
            </c:dLbl>
            <c:dLbl>
              <c:idx val="1"/>
              <c:delete val="1"/>
              <c:extLst>
                <c:ext xmlns:c15="http://schemas.microsoft.com/office/drawing/2012/chart" uri="{CE6537A1-D6FC-4f65-9D91-7224C49458BB}"/>
                <c:ext xmlns:c16="http://schemas.microsoft.com/office/drawing/2014/chart" uri="{C3380CC4-5D6E-409C-BE32-E72D297353CC}">
                  <c16:uniqueId val="{0000001F-5A08-47DA-80DC-BA04D49A7458}"/>
                </c:ext>
              </c:extLst>
            </c:dLbl>
            <c:dLbl>
              <c:idx val="2"/>
              <c:delete val="1"/>
              <c:extLst>
                <c:ext xmlns:c15="http://schemas.microsoft.com/office/drawing/2012/chart" uri="{CE6537A1-D6FC-4f65-9D91-7224C49458BB}"/>
                <c:ext xmlns:c16="http://schemas.microsoft.com/office/drawing/2014/chart" uri="{C3380CC4-5D6E-409C-BE32-E72D297353CC}">
                  <c16:uniqueId val="{00000020-5A08-47DA-80DC-BA04D49A7458}"/>
                </c:ext>
              </c:extLst>
            </c:dLbl>
            <c:dLbl>
              <c:idx val="3"/>
              <c:delete val="1"/>
              <c:extLst>
                <c:ext xmlns:c15="http://schemas.microsoft.com/office/drawing/2012/chart" uri="{CE6537A1-D6FC-4f65-9D91-7224C49458BB}"/>
                <c:ext xmlns:c16="http://schemas.microsoft.com/office/drawing/2014/chart" uri="{C3380CC4-5D6E-409C-BE32-E72D297353CC}">
                  <c16:uniqueId val="{00000021-5A08-47DA-80DC-BA04D49A7458}"/>
                </c:ext>
              </c:extLst>
            </c:dLbl>
            <c:dLbl>
              <c:idx val="5"/>
              <c:delete val="1"/>
              <c:extLst>
                <c:ext xmlns:c15="http://schemas.microsoft.com/office/drawing/2012/chart" uri="{CE6537A1-D6FC-4f65-9D91-7224C49458BB}"/>
                <c:ext xmlns:c16="http://schemas.microsoft.com/office/drawing/2014/chart" uri="{C3380CC4-5D6E-409C-BE32-E72D297353CC}">
                  <c16:uniqueId val="{00000022-5A08-47DA-80DC-BA04D49A7458}"/>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2'!$V$42:$AA$42</c:f>
              <c:numCache>
                <c:formatCode>General</c:formatCode>
                <c:ptCount val="6"/>
                <c:pt idx="0">
                  <c:v>0</c:v>
                </c:pt>
                <c:pt idx="1">
                  <c:v>0</c:v>
                </c:pt>
                <c:pt idx="2">
                  <c:v>0</c:v>
                </c:pt>
                <c:pt idx="3">
                  <c:v>0</c:v>
                </c:pt>
                <c:pt idx="4">
                  <c:v>0</c:v>
                </c:pt>
                <c:pt idx="5">
                  <c:v>0</c:v>
                </c:pt>
              </c:numCache>
            </c:numRef>
          </c:xVal>
          <c:yVal>
            <c:numRef>
              <c:f>'Beispiel 2'!$V$43:$AA$43</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23-5A08-47DA-80DC-BA04D49A7458}"/>
            </c:ext>
          </c:extLst>
        </c:ser>
        <c:ser>
          <c:idx val="6"/>
          <c:order val="6"/>
          <c:tx>
            <c:strRef>
              <c:f>'Beispiel 2'!$T$44</c:f>
              <c:strCache>
                <c:ptCount val="1"/>
                <c:pt idx="0">
                  <c:v>Decke 4</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4-5A08-47DA-80DC-BA04D49A7458}"/>
                </c:ext>
              </c:extLst>
            </c:dLbl>
            <c:dLbl>
              <c:idx val="1"/>
              <c:delete val="1"/>
              <c:extLst>
                <c:ext xmlns:c15="http://schemas.microsoft.com/office/drawing/2012/chart" uri="{CE6537A1-D6FC-4f65-9D91-7224C49458BB}"/>
                <c:ext xmlns:c16="http://schemas.microsoft.com/office/drawing/2014/chart" uri="{C3380CC4-5D6E-409C-BE32-E72D297353CC}">
                  <c16:uniqueId val="{00000025-5A08-47DA-80DC-BA04D49A7458}"/>
                </c:ext>
              </c:extLst>
            </c:dLbl>
            <c:dLbl>
              <c:idx val="2"/>
              <c:delete val="1"/>
              <c:extLst>
                <c:ext xmlns:c15="http://schemas.microsoft.com/office/drawing/2012/chart" uri="{CE6537A1-D6FC-4f65-9D91-7224C49458BB}"/>
                <c:ext xmlns:c16="http://schemas.microsoft.com/office/drawing/2014/chart" uri="{C3380CC4-5D6E-409C-BE32-E72D297353CC}">
                  <c16:uniqueId val="{00000026-5A08-47DA-80DC-BA04D49A7458}"/>
                </c:ext>
              </c:extLst>
            </c:dLbl>
            <c:dLbl>
              <c:idx val="3"/>
              <c:delete val="1"/>
              <c:extLst>
                <c:ext xmlns:c15="http://schemas.microsoft.com/office/drawing/2012/chart" uri="{CE6537A1-D6FC-4f65-9D91-7224C49458BB}"/>
                <c:ext xmlns:c16="http://schemas.microsoft.com/office/drawing/2014/chart" uri="{C3380CC4-5D6E-409C-BE32-E72D297353CC}">
                  <c16:uniqueId val="{00000027-5A08-47DA-80DC-BA04D49A7458}"/>
                </c:ext>
              </c:extLst>
            </c:dLbl>
            <c:dLbl>
              <c:idx val="5"/>
              <c:delete val="1"/>
              <c:extLst>
                <c:ext xmlns:c15="http://schemas.microsoft.com/office/drawing/2012/chart" uri="{CE6537A1-D6FC-4f65-9D91-7224C49458BB}"/>
                <c:ext xmlns:c16="http://schemas.microsoft.com/office/drawing/2014/chart" uri="{C3380CC4-5D6E-409C-BE32-E72D297353CC}">
                  <c16:uniqueId val="{00000028-5A08-47DA-80DC-BA04D49A7458}"/>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2'!$V$44:$AA$44</c:f>
              <c:numCache>
                <c:formatCode>General</c:formatCode>
                <c:ptCount val="6"/>
                <c:pt idx="0">
                  <c:v>-3.2500000000000001E-2</c:v>
                </c:pt>
                <c:pt idx="1">
                  <c:v>-3.2500000000000001E-2</c:v>
                </c:pt>
                <c:pt idx="2">
                  <c:v>-2.2124999999999999</c:v>
                </c:pt>
                <c:pt idx="3">
                  <c:v>-2.2124999999999999</c:v>
                </c:pt>
                <c:pt idx="4">
                  <c:v>-1.2124999999999999</c:v>
                </c:pt>
                <c:pt idx="5">
                  <c:v>-3.2500000000000001E-2</c:v>
                </c:pt>
              </c:numCache>
            </c:numRef>
          </c:xVal>
          <c:yVal>
            <c:numRef>
              <c:f>'Beispiel 2'!$V$45:$AA$45</c:f>
              <c:numCache>
                <c:formatCode>General</c:formatCode>
                <c:ptCount val="6"/>
                <c:pt idx="0">
                  <c:v>5.5450000000000008</c:v>
                </c:pt>
                <c:pt idx="1">
                  <c:v>5.5450000000000008</c:v>
                </c:pt>
                <c:pt idx="2">
                  <c:v>5.5450000000000008</c:v>
                </c:pt>
                <c:pt idx="3">
                  <c:v>5.3450000000000006</c:v>
                </c:pt>
                <c:pt idx="4">
                  <c:v>5.3450000000000006</c:v>
                </c:pt>
                <c:pt idx="5">
                  <c:v>5.3450000000000006</c:v>
                </c:pt>
              </c:numCache>
            </c:numRef>
          </c:yVal>
          <c:smooth val="0"/>
          <c:extLst>
            <c:ext xmlns:c16="http://schemas.microsoft.com/office/drawing/2014/chart" uri="{C3380CC4-5D6E-409C-BE32-E72D297353CC}">
              <c16:uniqueId val="{00000029-5A08-47DA-80DC-BA04D49A7458}"/>
            </c:ext>
          </c:extLst>
        </c:ser>
        <c:ser>
          <c:idx val="11"/>
          <c:order val="7"/>
          <c:tx>
            <c:strRef>
              <c:f>'Beispiel 2'!$T$46</c:f>
              <c:strCache>
                <c:ptCount val="1"/>
                <c:pt idx="0">
                  <c:v>Outline</c:v>
                </c:pt>
              </c:strCache>
            </c:strRef>
          </c:tx>
          <c:spPr>
            <a:ln w="19050" cap="rnd">
              <a:noFill/>
              <a:round/>
            </a:ln>
            <a:effectLst/>
          </c:spPr>
          <c:marker>
            <c:symbol val="none"/>
          </c:marker>
          <c:dLbls>
            <c:delete val="1"/>
          </c:dLbls>
          <c:xVal>
            <c:numRef>
              <c:f>'Beispiel 2'!$V$46:$W$46</c:f>
              <c:numCache>
                <c:formatCode>General</c:formatCode>
                <c:ptCount val="2"/>
                <c:pt idx="0">
                  <c:v>9.0090000000000021</c:v>
                </c:pt>
                <c:pt idx="1">
                  <c:v>-9.0090000000000021</c:v>
                </c:pt>
              </c:numCache>
            </c:numRef>
          </c:xVal>
          <c:yVal>
            <c:numRef>
              <c:f>'Beispiel 2'!$V$47:$W$47</c:f>
              <c:numCache>
                <c:formatCode>General</c:formatCode>
                <c:ptCount val="2"/>
                <c:pt idx="0">
                  <c:v>9.0090000000000021</c:v>
                </c:pt>
                <c:pt idx="1">
                  <c:v>9.0090000000000021</c:v>
                </c:pt>
              </c:numCache>
            </c:numRef>
          </c:yVal>
          <c:smooth val="0"/>
          <c:extLst>
            <c:ext xmlns:c16="http://schemas.microsoft.com/office/drawing/2014/chart" uri="{C3380CC4-5D6E-409C-BE32-E72D297353CC}">
              <c16:uniqueId val="{0000002A-5A08-47DA-80DC-BA04D49A7458}"/>
            </c:ext>
          </c:extLst>
        </c:ser>
        <c:ser>
          <c:idx val="12"/>
          <c:order val="8"/>
          <c:tx>
            <c:strRef>
              <c:f>'Beispiel 2'!$X$51</c:f>
              <c:strCache>
                <c:ptCount val="1"/>
              </c:strCache>
            </c:strRef>
          </c:tx>
          <c:spPr>
            <a:ln w="19050" cap="rnd">
              <a:solidFill>
                <a:schemeClr val="accent1">
                  <a:lumMod val="80000"/>
                  <a:lumOff val="20000"/>
                </a:schemeClr>
              </a:solidFill>
              <a:round/>
            </a:ln>
            <a:effectLst/>
          </c:spPr>
          <c:marker>
            <c:symbol val="none"/>
          </c:marker>
          <c:dPt>
            <c:idx val="1"/>
            <c:bubble3D val="0"/>
            <c:spPr>
              <a:ln w="19050" cap="rnd">
                <a:solidFill>
                  <a:srgbClr val="C00000"/>
                </a:solidFill>
                <a:round/>
                <a:tailEnd type="triangle"/>
              </a:ln>
              <a:effectLst/>
            </c:spPr>
            <c:extLst>
              <c:ext xmlns:c16="http://schemas.microsoft.com/office/drawing/2014/chart" uri="{C3380CC4-5D6E-409C-BE32-E72D297353CC}">
                <c16:uniqueId val="{0000002C-5A08-47DA-80DC-BA04D49A7458}"/>
              </c:ext>
            </c:extLst>
          </c:dPt>
          <c:dLbls>
            <c:dLbl>
              <c:idx val="0"/>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D-5A08-47DA-80DC-BA04D49A7458}"/>
                </c:ext>
              </c:extLst>
            </c:dLbl>
            <c:dLbl>
              <c:idx val="1"/>
              <c:delete val="1"/>
              <c:extLst>
                <c:ext xmlns:c15="http://schemas.microsoft.com/office/drawing/2012/chart" uri="{CE6537A1-D6FC-4f65-9D91-7224C49458BB}"/>
                <c:ext xmlns:c16="http://schemas.microsoft.com/office/drawing/2014/chart" uri="{C3380CC4-5D6E-409C-BE32-E72D297353CC}">
                  <c16:uniqueId val="{0000002C-5A08-47DA-80DC-BA04D49A745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2'!$V$51:$W$51</c:f>
              <c:numCache>
                <c:formatCode>General</c:formatCode>
                <c:ptCount val="2"/>
                <c:pt idx="0">
                  <c:v>0</c:v>
                </c:pt>
                <c:pt idx="1">
                  <c:v>0</c:v>
                </c:pt>
              </c:numCache>
            </c:numRef>
          </c:xVal>
          <c:yVal>
            <c:numRef>
              <c:f>'Beispiel 2'!$V$52:$W$52</c:f>
              <c:numCache>
                <c:formatCode>General</c:formatCode>
                <c:ptCount val="2"/>
                <c:pt idx="0">
                  <c:v>-5</c:v>
                </c:pt>
                <c:pt idx="1">
                  <c:v>-5</c:v>
                </c:pt>
              </c:numCache>
            </c:numRef>
          </c:yVal>
          <c:smooth val="0"/>
          <c:extLst>
            <c:ext xmlns:c16="http://schemas.microsoft.com/office/drawing/2014/chart" uri="{C3380CC4-5D6E-409C-BE32-E72D297353CC}">
              <c16:uniqueId val="{0000002E-5A08-47DA-80DC-BA04D49A7458}"/>
            </c:ext>
          </c:extLst>
        </c:ser>
        <c:ser>
          <c:idx val="13"/>
          <c:order val="9"/>
          <c:tx>
            <c:strRef>
              <c:f>'Beispiel 2'!$X$53</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F-5A08-47DA-80DC-BA04D49A7458}"/>
                </c:ext>
              </c:extLst>
            </c:dLbl>
            <c:spPr>
              <a:noFill/>
              <a:ln>
                <a:noFill/>
              </a:ln>
              <a:effectLst/>
            </c:spPr>
            <c:txPr>
              <a:bodyPr rot="0" spcFirstLastPara="1" vertOverflow="ellipsis" vert="horz" wrap="square" lIns="38100" tIns="19050" rIns="38100" bIns="19050" anchor="ctr" anchorCtr="0">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2'!$V$53:$W$53</c:f>
              <c:numCache>
                <c:formatCode>General</c:formatCode>
                <c:ptCount val="2"/>
                <c:pt idx="0">
                  <c:v>0</c:v>
                </c:pt>
                <c:pt idx="1">
                  <c:v>0</c:v>
                </c:pt>
              </c:numCache>
            </c:numRef>
          </c:xVal>
          <c:yVal>
            <c:numRef>
              <c:f>'Beispiel 2'!$V$54:$W$54</c:f>
              <c:numCache>
                <c:formatCode>General</c:formatCode>
                <c:ptCount val="2"/>
                <c:pt idx="0">
                  <c:v>-5</c:v>
                </c:pt>
                <c:pt idx="1">
                  <c:v>-5</c:v>
                </c:pt>
              </c:numCache>
            </c:numRef>
          </c:yVal>
          <c:smooth val="0"/>
          <c:extLst>
            <c:ext xmlns:c16="http://schemas.microsoft.com/office/drawing/2014/chart" uri="{C3380CC4-5D6E-409C-BE32-E72D297353CC}">
              <c16:uniqueId val="{00000030-5A08-47DA-80DC-BA04D49A7458}"/>
            </c:ext>
          </c:extLst>
        </c:ser>
        <c:ser>
          <c:idx val="14"/>
          <c:order val="10"/>
          <c:tx>
            <c:strRef>
              <c:f>'Beispiel 2'!$X$55</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1-5A08-47DA-80DC-BA04D49A745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2'!$V$55:$W$55</c:f>
              <c:numCache>
                <c:formatCode>General</c:formatCode>
                <c:ptCount val="2"/>
                <c:pt idx="0">
                  <c:v>0</c:v>
                </c:pt>
                <c:pt idx="1">
                  <c:v>0</c:v>
                </c:pt>
              </c:numCache>
            </c:numRef>
          </c:xVal>
          <c:yVal>
            <c:numRef>
              <c:f>'Beispiel 2'!$V$56:$W$56</c:f>
              <c:numCache>
                <c:formatCode>General</c:formatCode>
                <c:ptCount val="2"/>
                <c:pt idx="0">
                  <c:v>-5</c:v>
                </c:pt>
                <c:pt idx="1">
                  <c:v>-5</c:v>
                </c:pt>
              </c:numCache>
            </c:numRef>
          </c:yVal>
          <c:smooth val="0"/>
          <c:extLst>
            <c:ext xmlns:c16="http://schemas.microsoft.com/office/drawing/2014/chart" uri="{C3380CC4-5D6E-409C-BE32-E72D297353CC}">
              <c16:uniqueId val="{00000032-5A08-47DA-80DC-BA04D49A7458}"/>
            </c:ext>
          </c:extLst>
        </c:ser>
        <c:ser>
          <c:idx val="15"/>
          <c:order val="11"/>
          <c:tx>
            <c:strRef>
              <c:f>'Beispiel 2'!$X$57</c:f>
              <c:strCache>
                <c:ptCount val="1"/>
                <c:pt idx="0">
                  <c:v>1,00 kN/m</c:v>
                </c:pt>
              </c:strCache>
            </c:strRef>
          </c:tx>
          <c:spPr>
            <a:ln w="19050" cap="rnd">
              <a:solidFill>
                <a:srgbClr val="C00000"/>
              </a:solidFill>
              <a:round/>
              <a:headEnd type="none"/>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3-5A08-47DA-80DC-BA04D49A745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2'!$V$57:$W$57</c:f>
              <c:numCache>
                <c:formatCode>General</c:formatCode>
                <c:ptCount val="2"/>
                <c:pt idx="0">
                  <c:v>-2</c:v>
                </c:pt>
                <c:pt idx="1">
                  <c:v>-2</c:v>
                </c:pt>
              </c:numCache>
            </c:numRef>
          </c:xVal>
          <c:yVal>
            <c:numRef>
              <c:f>'Beispiel 2'!$V$58:$W$58</c:f>
              <c:numCache>
                <c:formatCode>General</c:formatCode>
                <c:ptCount val="2"/>
                <c:pt idx="0">
                  <c:v>5.5950000000000006</c:v>
                </c:pt>
                <c:pt idx="1">
                  <c:v>5.5450000000000008</c:v>
                </c:pt>
              </c:numCache>
            </c:numRef>
          </c:yVal>
          <c:smooth val="0"/>
          <c:extLst>
            <c:ext xmlns:c16="http://schemas.microsoft.com/office/drawing/2014/chart" uri="{C3380CC4-5D6E-409C-BE32-E72D297353CC}">
              <c16:uniqueId val="{00000034-5A08-47DA-80DC-BA04D49A7458}"/>
            </c:ext>
          </c:extLst>
        </c:ser>
        <c:ser>
          <c:idx val="7"/>
          <c:order val="12"/>
          <c:tx>
            <c:v>Bearing Slab 01 Fixed</c:v>
          </c:tx>
          <c:spPr>
            <a:ln w="19050" cap="rnd">
              <a:solidFill>
                <a:schemeClr val="accent2">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2'!$Z$51</c:f>
              <c:numCache>
                <c:formatCode>General</c:formatCode>
                <c:ptCount val="1"/>
                <c:pt idx="0">
                  <c:v>5.7125000000000004</c:v>
                </c:pt>
              </c:numCache>
            </c:numRef>
          </c:xVal>
          <c:yVal>
            <c:numRef>
              <c:f>'Beispiel 2'!$Z$52</c:f>
              <c:numCache>
                <c:formatCode>General</c:formatCode>
                <c:ptCount val="1"/>
                <c:pt idx="0">
                  <c:v>2.5</c:v>
                </c:pt>
              </c:numCache>
            </c:numRef>
          </c:yVal>
          <c:smooth val="0"/>
          <c:extLst>
            <c:ext xmlns:c16="http://schemas.microsoft.com/office/drawing/2014/chart" uri="{C3380CC4-5D6E-409C-BE32-E72D297353CC}">
              <c16:uniqueId val="{00000035-5A08-47DA-80DC-BA04D49A7458}"/>
            </c:ext>
          </c:extLst>
        </c:ser>
        <c:ser>
          <c:idx val="8"/>
          <c:order val="13"/>
          <c:tx>
            <c:v>Bearing Slab 01 Hinged</c:v>
          </c:tx>
          <c:spPr>
            <a:ln w="19050" cap="rnd">
              <a:solidFill>
                <a:schemeClr val="accent3">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2'!$AA$51</c:f>
              <c:numCache>
                <c:formatCode>General</c:formatCode>
                <c:ptCount val="1"/>
                <c:pt idx="0">
                  <c:v>5.7125000000000004</c:v>
                </c:pt>
              </c:numCache>
            </c:numRef>
          </c:xVal>
          <c:yVal>
            <c:numRef>
              <c:f>'Beispiel 2'!$AA$52</c:f>
              <c:numCache>
                <c:formatCode>General</c:formatCode>
                <c:ptCount val="1"/>
                <c:pt idx="0">
                  <c:v>-5</c:v>
                </c:pt>
              </c:numCache>
            </c:numRef>
          </c:yVal>
          <c:smooth val="0"/>
          <c:extLst>
            <c:ext xmlns:c16="http://schemas.microsoft.com/office/drawing/2014/chart" uri="{C3380CC4-5D6E-409C-BE32-E72D297353CC}">
              <c16:uniqueId val="{00000036-5A08-47DA-80DC-BA04D49A7458}"/>
            </c:ext>
          </c:extLst>
        </c:ser>
        <c:ser>
          <c:idx val="9"/>
          <c:order val="14"/>
          <c:tx>
            <c:v>Bearing Slab 02 Fixed</c:v>
          </c:tx>
          <c:spPr>
            <a:ln w="19050" cap="rnd">
              <a:solidFill>
                <a:schemeClr val="accent4">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2'!$Z$53</c:f>
              <c:numCache>
                <c:formatCode>General</c:formatCode>
                <c:ptCount val="1"/>
                <c:pt idx="0">
                  <c:v>5.7125000000000004</c:v>
                </c:pt>
              </c:numCache>
            </c:numRef>
          </c:xVal>
          <c:yVal>
            <c:numRef>
              <c:f>'Beispiel 2'!$Z$54</c:f>
              <c:numCache>
                <c:formatCode>General</c:formatCode>
                <c:ptCount val="1"/>
                <c:pt idx="0">
                  <c:v>5.3450000000000006</c:v>
                </c:pt>
              </c:numCache>
            </c:numRef>
          </c:yVal>
          <c:smooth val="0"/>
          <c:extLst>
            <c:ext xmlns:c16="http://schemas.microsoft.com/office/drawing/2014/chart" uri="{C3380CC4-5D6E-409C-BE32-E72D297353CC}">
              <c16:uniqueId val="{00000037-5A08-47DA-80DC-BA04D49A7458}"/>
            </c:ext>
          </c:extLst>
        </c:ser>
        <c:ser>
          <c:idx val="10"/>
          <c:order val="15"/>
          <c:tx>
            <c:v>Bearing Slab 02 Hinged</c:v>
          </c:tx>
          <c:spPr>
            <a:ln w="19050" cap="rnd">
              <a:solidFill>
                <a:schemeClr val="accent5">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2'!$AA$53</c:f>
              <c:numCache>
                <c:formatCode>General</c:formatCode>
                <c:ptCount val="1"/>
                <c:pt idx="0">
                  <c:v>5.7125000000000004</c:v>
                </c:pt>
              </c:numCache>
            </c:numRef>
          </c:xVal>
          <c:yVal>
            <c:numRef>
              <c:f>'Beispiel 2'!$AA$54</c:f>
              <c:numCache>
                <c:formatCode>General</c:formatCode>
                <c:ptCount val="1"/>
                <c:pt idx="0">
                  <c:v>-5</c:v>
                </c:pt>
              </c:numCache>
            </c:numRef>
          </c:yVal>
          <c:smooth val="0"/>
          <c:extLst>
            <c:ext xmlns:c16="http://schemas.microsoft.com/office/drawing/2014/chart" uri="{C3380CC4-5D6E-409C-BE32-E72D297353CC}">
              <c16:uniqueId val="{00000038-5A08-47DA-80DC-BA04D49A7458}"/>
            </c:ext>
          </c:extLst>
        </c:ser>
        <c:ser>
          <c:idx val="16"/>
          <c:order val="16"/>
          <c:tx>
            <c:v>Bearing Slab 03 Fixed</c:v>
          </c:tx>
          <c:spPr>
            <a:ln w="19050" cap="rnd">
              <a:solidFill>
                <a:schemeClr val="accent5">
                  <a:lumMod val="80000"/>
                  <a:lumOff val="2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2'!$Z$55</c:f>
              <c:numCache>
                <c:formatCode>General</c:formatCode>
                <c:ptCount val="1"/>
                <c:pt idx="0">
                  <c:v>0</c:v>
                </c:pt>
              </c:numCache>
            </c:numRef>
          </c:xVal>
          <c:yVal>
            <c:numRef>
              <c:f>'Beispiel 2'!$Z$56</c:f>
              <c:numCache>
                <c:formatCode>General</c:formatCode>
                <c:ptCount val="1"/>
                <c:pt idx="0">
                  <c:v>-5</c:v>
                </c:pt>
              </c:numCache>
            </c:numRef>
          </c:yVal>
          <c:smooth val="0"/>
          <c:extLst>
            <c:ext xmlns:c16="http://schemas.microsoft.com/office/drawing/2014/chart" uri="{C3380CC4-5D6E-409C-BE32-E72D297353CC}">
              <c16:uniqueId val="{00000039-5A08-47DA-80DC-BA04D49A7458}"/>
            </c:ext>
          </c:extLst>
        </c:ser>
        <c:ser>
          <c:idx val="17"/>
          <c:order val="17"/>
          <c:tx>
            <c:v>Bearing Slab 03 Hinged</c:v>
          </c:tx>
          <c:spPr>
            <a:ln w="19050" cap="rnd">
              <a:solidFill>
                <a:schemeClr val="accent6">
                  <a:lumMod val="80000"/>
                  <a:lumOff val="2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2'!$AA$55</c:f>
              <c:numCache>
                <c:formatCode>General</c:formatCode>
                <c:ptCount val="1"/>
                <c:pt idx="0">
                  <c:v>0</c:v>
                </c:pt>
              </c:numCache>
            </c:numRef>
          </c:xVal>
          <c:yVal>
            <c:numRef>
              <c:f>'Beispiel 2'!$AA$56</c:f>
              <c:numCache>
                <c:formatCode>General</c:formatCode>
                <c:ptCount val="1"/>
                <c:pt idx="0">
                  <c:v>-5</c:v>
                </c:pt>
              </c:numCache>
            </c:numRef>
          </c:yVal>
          <c:smooth val="0"/>
          <c:extLst>
            <c:ext xmlns:c16="http://schemas.microsoft.com/office/drawing/2014/chart" uri="{C3380CC4-5D6E-409C-BE32-E72D297353CC}">
              <c16:uniqueId val="{0000003A-5A08-47DA-80DC-BA04D49A7458}"/>
            </c:ext>
          </c:extLst>
        </c:ser>
        <c:ser>
          <c:idx val="18"/>
          <c:order val="18"/>
          <c:tx>
            <c:v>Bearing Slab 04 Fixed</c:v>
          </c:tx>
          <c:spPr>
            <a:ln w="19050" cap="rnd">
              <a:solidFill>
                <a:schemeClr val="accent1">
                  <a:lumMod val="8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2'!$Z$57</c:f>
              <c:numCache>
                <c:formatCode>General</c:formatCode>
                <c:ptCount val="1"/>
                <c:pt idx="0">
                  <c:v>-2.2124999999999999</c:v>
                </c:pt>
              </c:numCache>
            </c:numRef>
          </c:xVal>
          <c:yVal>
            <c:numRef>
              <c:f>'Beispiel 2'!$Z$58</c:f>
              <c:numCache>
                <c:formatCode>General</c:formatCode>
                <c:ptCount val="1"/>
                <c:pt idx="0">
                  <c:v>-5</c:v>
                </c:pt>
              </c:numCache>
            </c:numRef>
          </c:yVal>
          <c:smooth val="0"/>
          <c:extLst>
            <c:ext xmlns:c16="http://schemas.microsoft.com/office/drawing/2014/chart" uri="{C3380CC4-5D6E-409C-BE32-E72D297353CC}">
              <c16:uniqueId val="{0000003B-5A08-47DA-80DC-BA04D49A7458}"/>
            </c:ext>
          </c:extLst>
        </c:ser>
        <c:ser>
          <c:idx val="19"/>
          <c:order val="19"/>
          <c:tx>
            <c:v>Bearing Slab 04 Hinged</c:v>
          </c:tx>
          <c:spPr>
            <a:ln w="19050" cap="rnd">
              <a:solidFill>
                <a:schemeClr val="accent2">
                  <a:lumMod val="8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2'!$AA$57</c:f>
              <c:numCache>
                <c:formatCode>General</c:formatCode>
                <c:ptCount val="1"/>
                <c:pt idx="0">
                  <c:v>-2.2124999999999999</c:v>
                </c:pt>
              </c:numCache>
            </c:numRef>
          </c:xVal>
          <c:yVal>
            <c:numRef>
              <c:f>'Beispiel 2'!$AA$58</c:f>
              <c:numCache>
                <c:formatCode>General</c:formatCode>
                <c:ptCount val="1"/>
                <c:pt idx="0">
                  <c:v>-5</c:v>
                </c:pt>
              </c:numCache>
            </c:numRef>
          </c:yVal>
          <c:smooth val="0"/>
          <c:extLst>
            <c:ext xmlns:c16="http://schemas.microsoft.com/office/drawing/2014/chart" uri="{C3380CC4-5D6E-409C-BE32-E72D297353CC}">
              <c16:uniqueId val="{0000003C-5A08-47DA-80DC-BA04D49A7458}"/>
            </c:ext>
          </c:extLst>
        </c:ser>
        <c:dLbls>
          <c:showLegendKey val="0"/>
          <c:showVal val="1"/>
          <c:showCatName val="0"/>
          <c:showSerName val="0"/>
          <c:showPercent val="0"/>
          <c:showBubbleSize val="0"/>
        </c:dLbls>
        <c:axId val="467690536"/>
        <c:axId val="467692104"/>
      </c:scatterChart>
      <c:valAx>
        <c:axId val="467690536"/>
        <c:scaling>
          <c:orientation val="minMax"/>
        </c:scaling>
        <c:delete val="0"/>
        <c:axPos val="b"/>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92104"/>
        <c:crosses val="autoZero"/>
        <c:crossBetween val="midCat"/>
        <c:majorUnit val="2"/>
      </c:valAx>
      <c:valAx>
        <c:axId val="467692104"/>
        <c:scaling>
          <c:orientation val="minMax"/>
          <c:min val="0"/>
        </c:scaling>
        <c:delete val="0"/>
        <c:axPos val="l"/>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90536"/>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30873015873016E-2"/>
          <c:y val="4.8506944444444443E-2"/>
          <c:w val="0.85232460317460312"/>
          <c:h val="0.77683159722222206"/>
        </c:manualLayout>
      </c:layout>
      <c:scatterChart>
        <c:scatterStyle val="lineMarker"/>
        <c:varyColors val="0"/>
        <c:ser>
          <c:idx val="3"/>
          <c:order val="0"/>
          <c:tx>
            <c:strRef>
              <c:f>'Beispiel 2'!$T$67</c:f>
              <c:strCache>
                <c:ptCount val="1"/>
                <c:pt idx="0">
                  <c:v>Outline</c:v>
                </c:pt>
              </c:strCache>
            </c:strRef>
          </c:tx>
          <c:spPr>
            <a:ln w="19050" cap="rnd">
              <a:noFill/>
              <a:round/>
            </a:ln>
            <a:effectLst/>
          </c:spPr>
          <c:marker>
            <c:symbol val="none"/>
          </c:marker>
          <c:xVal>
            <c:numRef>
              <c:f>'Beispiel 2'!$V$67:$W$67</c:f>
              <c:numCache>
                <c:formatCode>0.00</c:formatCode>
                <c:ptCount val="2"/>
                <c:pt idx="0">
                  <c:v>5.1825475804139813</c:v>
                </c:pt>
                <c:pt idx="1">
                  <c:v>-5.1825475804139813</c:v>
                </c:pt>
              </c:numCache>
            </c:numRef>
          </c:xVal>
          <c:yVal>
            <c:numRef>
              <c:f>'Beispiel 2'!$V$68:$W$68</c:f>
              <c:numCache>
                <c:formatCode>0.00</c:formatCode>
                <c:ptCount val="2"/>
                <c:pt idx="0">
                  <c:v>2.645</c:v>
                </c:pt>
                <c:pt idx="1">
                  <c:v>2.645</c:v>
                </c:pt>
              </c:numCache>
            </c:numRef>
          </c:yVal>
          <c:smooth val="0"/>
          <c:extLst>
            <c:ext xmlns:c16="http://schemas.microsoft.com/office/drawing/2014/chart" uri="{C3380CC4-5D6E-409C-BE32-E72D297353CC}">
              <c16:uniqueId val="{00000000-7928-46E4-B9A5-0730EB9325B6}"/>
            </c:ext>
          </c:extLst>
        </c:ser>
        <c:ser>
          <c:idx val="4"/>
          <c:order val="1"/>
          <c:tx>
            <c:strRef>
              <c:f>'Beispiel 2'!$T$70</c:f>
              <c:strCache>
                <c:ptCount val="1"/>
                <c:pt idx="0">
                  <c:v>Wall</c:v>
                </c:pt>
              </c:strCache>
            </c:strRef>
          </c:tx>
          <c:spPr>
            <a:ln w="19050" cap="rnd">
              <a:solidFill>
                <a:sysClr val="windowText" lastClr="000000"/>
              </a:solidFill>
              <a:round/>
            </a:ln>
            <a:effectLst/>
          </c:spPr>
          <c:marker>
            <c:symbol val="none"/>
          </c:marker>
          <c:xVal>
            <c:numRef>
              <c:f>'Beispiel 2'!$V$70:$W$70</c:f>
              <c:numCache>
                <c:formatCode>0.00</c:formatCode>
                <c:ptCount val="2"/>
                <c:pt idx="0">
                  <c:v>0</c:v>
                </c:pt>
                <c:pt idx="1">
                  <c:v>0</c:v>
                </c:pt>
              </c:numCache>
            </c:numRef>
          </c:xVal>
          <c:yVal>
            <c:numRef>
              <c:f>'Beispiel 2'!$V$71:$W$71</c:f>
              <c:numCache>
                <c:formatCode>0.00</c:formatCode>
                <c:ptCount val="2"/>
                <c:pt idx="0">
                  <c:v>0</c:v>
                </c:pt>
                <c:pt idx="1">
                  <c:v>2.645</c:v>
                </c:pt>
              </c:numCache>
            </c:numRef>
          </c:yVal>
          <c:smooth val="0"/>
          <c:extLst>
            <c:ext xmlns:c16="http://schemas.microsoft.com/office/drawing/2014/chart" uri="{C3380CC4-5D6E-409C-BE32-E72D297353CC}">
              <c16:uniqueId val="{00000001-7928-46E4-B9A5-0730EB9325B6}"/>
            </c:ext>
          </c:extLst>
        </c:ser>
        <c:ser>
          <c:idx val="5"/>
          <c:order val="2"/>
          <c:tx>
            <c:strRef>
              <c:f>'Beispiel 2'!$T$63</c:f>
              <c:strCache>
                <c:ptCount val="1"/>
                <c:pt idx="0">
                  <c:v>Slab rotation</c:v>
                </c:pt>
              </c:strCache>
            </c:strRef>
          </c:tx>
          <c:spPr>
            <a:ln w="19050" cap="rnd">
              <a:solidFill>
                <a:schemeClr val="accent2"/>
              </a:solidFill>
              <a:round/>
            </a:ln>
            <a:effectLst/>
          </c:spPr>
          <c:marker>
            <c:symbol val="none"/>
          </c:marker>
          <c:xVal>
            <c:numRef>
              <c:f>'Beispiel 2'!$V$64:$Y$64</c:f>
              <c:numCache>
                <c:formatCode>0.00</c:formatCode>
                <c:ptCount val="4"/>
                <c:pt idx="0">
                  <c:v>0</c:v>
                </c:pt>
                <c:pt idx="1">
                  <c:v>1.7886123173445154</c:v>
                </c:pt>
                <c:pt idx="2">
                  <c:v>4.5065631134034625</c:v>
                </c:pt>
                <c:pt idx="3">
                  <c:v>0</c:v>
                </c:pt>
              </c:numCache>
            </c:numRef>
          </c:xVal>
          <c:yVal>
            <c:numRef>
              <c:f>'Beispiel 2'!$V$65:$Y$65</c:f>
              <c:numCache>
                <c:formatCode>0.00</c:formatCode>
                <c:ptCount val="4"/>
                <c:pt idx="0">
                  <c:v>0</c:v>
                </c:pt>
                <c:pt idx="1">
                  <c:v>0</c:v>
                </c:pt>
                <c:pt idx="2">
                  <c:v>2.645</c:v>
                </c:pt>
                <c:pt idx="3">
                  <c:v>2.645</c:v>
                </c:pt>
              </c:numCache>
            </c:numRef>
          </c:yVal>
          <c:smooth val="0"/>
          <c:extLst>
            <c:ext xmlns:c16="http://schemas.microsoft.com/office/drawing/2014/chart" uri="{C3380CC4-5D6E-409C-BE32-E72D297353CC}">
              <c16:uniqueId val="{00000002-7928-46E4-B9A5-0730EB9325B6}"/>
            </c:ext>
          </c:extLst>
        </c:ser>
        <c:ser>
          <c:idx val="1"/>
          <c:order val="3"/>
          <c:tx>
            <c:strRef>
              <c:f>'Beispiel 2'!$T$67</c:f>
              <c:strCache>
                <c:ptCount val="1"/>
                <c:pt idx="0">
                  <c:v>Outline</c:v>
                </c:pt>
              </c:strCache>
            </c:strRef>
          </c:tx>
          <c:spPr>
            <a:ln w="19050" cap="rnd">
              <a:noFill/>
              <a:round/>
            </a:ln>
            <a:effectLst/>
          </c:spPr>
          <c:marker>
            <c:symbol val="none"/>
          </c:marker>
          <c:xVal>
            <c:numRef>
              <c:f>'Beispiel 2'!$V$67:$W$67</c:f>
              <c:numCache>
                <c:formatCode>0.00</c:formatCode>
                <c:ptCount val="2"/>
                <c:pt idx="0">
                  <c:v>5.1825475804139813</c:v>
                </c:pt>
                <c:pt idx="1">
                  <c:v>-5.1825475804139813</c:v>
                </c:pt>
              </c:numCache>
            </c:numRef>
          </c:xVal>
          <c:yVal>
            <c:numRef>
              <c:f>'Beispiel 2'!$V$68:$W$68</c:f>
              <c:numCache>
                <c:formatCode>0.00</c:formatCode>
                <c:ptCount val="2"/>
                <c:pt idx="0">
                  <c:v>2.645</c:v>
                </c:pt>
                <c:pt idx="1">
                  <c:v>2.645</c:v>
                </c:pt>
              </c:numCache>
            </c:numRef>
          </c:yVal>
          <c:smooth val="0"/>
          <c:extLst>
            <c:ext xmlns:c16="http://schemas.microsoft.com/office/drawing/2014/chart" uri="{C3380CC4-5D6E-409C-BE32-E72D297353CC}">
              <c16:uniqueId val="{00000003-7928-46E4-B9A5-0730EB9325B6}"/>
            </c:ext>
          </c:extLst>
        </c:ser>
        <c:ser>
          <c:idx val="2"/>
          <c:order val="4"/>
          <c:tx>
            <c:strRef>
              <c:f>'Beispiel 2'!$T$70</c:f>
              <c:strCache>
                <c:ptCount val="1"/>
                <c:pt idx="0">
                  <c:v>Wall</c:v>
                </c:pt>
              </c:strCache>
            </c:strRef>
          </c:tx>
          <c:spPr>
            <a:ln w="19050" cap="rnd">
              <a:solidFill>
                <a:sysClr val="windowText" lastClr="000000"/>
              </a:solidFill>
              <a:round/>
            </a:ln>
            <a:effectLst/>
          </c:spPr>
          <c:marker>
            <c:symbol val="none"/>
          </c:marker>
          <c:xVal>
            <c:numRef>
              <c:f>'Beispiel 2'!$V$70:$W$70</c:f>
              <c:numCache>
                <c:formatCode>0.00</c:formatCode>
                <c:ptCount val="2"/>
                <c:pt idx="0">
                  <c:v>0</c:v>
                </c:pt>
                <c:pt idx="1">
                  <c:v>0</c:v>
                </c:pt>
              </c:numCache>
            </c:numRef>
          </c:xVal>
          <c:yVal>
            <c:numRef>
              <c:f>'Beispiel 2'!$V$71:$W$71</c:f>
              <c:numCache>
                <c:formatCode>0.00</c:formatCode>
                <c:ptCount val="2"/>
                <c:pt idx="0">
                  <c:v>0</c:v>
                </c:pt>
                <c:pt idx="1">
                  <c:v>2.645</c:v>
                </c:pt>
              </c:numCache>
            </c:numRef>
          </c:yVal>
          <c:smooth val="0"/>
          <c:extLst>
            <c:ext xmlns:c16="http://schemas.microsoft.com/office/drawing/2014/chart" uri="{C3380CC4-5D6E-409C-BE32-E72D297353CC}">
              <c16:uniqueId val="{00000004-7928-46E4-B9A5-0730EB9325B6}"/>
            </c:ext>
          </c:extLst>
        </c:ser>
        <c:ser>
          <c:idx val="0"/>
          <c:order val="5"/>
          <c:tx>
            <c:strRef>
              <c:f>'Beispiel 2'!$T$63</c:f>
              <c:strCache>
                <c:ptCount val="1"/>
                <c:pt idx="0">
                  <c:v>Slab rotation</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5-7928-46E4-B9A5-0730EB9325B6}"/>
                </c:ext>
              </c:extLst>
            </c:dLbl>
            <c:dLbl>
              <c:idx val="1"/>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928-46E4-B9A5-0730EB9325B6}"/>
                </c:ext>
              </c:extLst>
            </c:dLbl>
            <c:dLbl>
              <c:idx val="2"/>
              <c:dLblPos val="l"/>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928-46E4-B9A5-0730EB9325B6}"/>
                </c:ext>
              </c:extLst>
            </c:dLbl>
            <c:dLbl>
              <c:idx val="3"/>
              <c:delete val="1"/>
              <c:extLst>
                <c:ext xmlns:c15="http://schemas.microsoft.com/office/drawing/2012/chart" uri="{CE6537A1-D6FC-4f65-9D91-7224C49458BB}"/>
                <c:ext xmlns:c16="http://schemas.microsoft.com/office/drawing/2014/chart" uri="{C3380CC4-5D6E-409C-BE32-E72D297353CC}">
                  <c16:uniqueId val="{00000008-7928-46E4-B9A5-0730EB9325B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2'!$V$64:$Y$64</c:f>
              <c:numCache>
                <c:formatCode>0.00</c:formatCode>
                <c:ptCount val="4"/>
                <c:pt idx="0">
                  <c:v>0</c:v>
                </c:pt>
                <c:pt idx="1">
                  <c:v>1.7886123173445154</c:v>
                </c:pt>
                <c:pt idx="2">
                  <c:v>4.5065631134034625</c:v>
                </c:pt>
                <c:pt idx="3">
                  <c:v>0</c:v>
                </c:pt>
              </c:numCache>
            </c:numRef>
          </c:xVal>
          <c:yVal>
            <c:numRef>
              <c:f>'Beispiel 2'!$V$65:$Y$65</c:f>
              <c:numCache>
                <c:formatCode>0.00</c:formatCode>
                <c:ptCount val="4"/>
                <c:pt idx="0">
                  <c:v>0</c:v>
                </c:pt>
                <c:pt idx="1">
                  <c:v>0</c:v>
                </c:pt>
                <c:pt idx="2">
                  <c:v>2.645</c:v>
                </c:pt>
                <c:pt idx="3">
                  <c:v>2.645</c:v>
                </c:pt>
              </c:numCache>
            </c:numRef>
          </c:yVal>
          <c:smooth val="0"/>
          <c:extLst>
            <c:ext xmlns:c16="http://schemas.microsoft.com/office/drawing/2014/chart" uri="{C3380CC4-5D6E-409C-BE32-E72D297353CC}">
              <c16:uniqueId val="{00000009-7928-46E4-B9A5-0730EB9325B6}"/>
            </c:ext>
          </c:extLst>
        </c:ser>
        <c:dLbls>
          <c:showLegendKey val="0"/>
          <c:showVal val="0"/>
          <c:showCatName val="0"/>
          <c:showSerName val="0"/>
          <c:showPercent val="0"/>
          <c:showBubbleSize val="0"/>
        </c:dLbls>
        <c:axId val="467687792"/>
        <c:axId val="467686224"/>
      </c:scatterChart>
      <c:valAx>
        <c:axId val="46768779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AT" b="1">
                    <a:solidFill>
                      <a:sysClr val="windowText" lastClr="000000"/>
                    </a:solidFill>
                  </a:rPr>
                  <a:t>Biegemoment durch Deckenverdrehung </a:t>
                </a:r>
                <a:r>
                  <a:rPr lang="de-AT" b="1" baseline="0">
                    <a:solidFill>
                      <a:sysClr val="windowText" lastClr="000000"/>
                    </a:solidFill>
                  </a:rPr>
                  <a:t>[kNm/m]</a:t>
                </a:r>
                <a:endParaRPr lang="de-AT"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in"/>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6224"/>
        <c:crosses val="autoZero"/>
        <c:crossBetween val="midCat"/>
      </c:valAx>
      <c:valAx>
        <c:axId val="467686224"/>
        <c:scaling>
          <c:orientation val="minMax"/>
          <c:min val="0"/>
        </c:scaling>
        <c:delete val="0"/>
        <c:axPos val="l"/>
        <c:numFmt formatCode="0.00" sourceLinked="1"/>
        <c:majorTickMark val="cross"/>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7792"/>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76960125828646"/>
          <c:y val="3.2590766423307667E-2"/>
          <c:w val="0.64086199280008271"/>
          <c:h val="0.78598050753298632"/>
        </c:manualLayout>
      </c:layout>
      <c:scatterChart>
        <c:scatterStyle val="smoothMarker"/>
        <c:varyColors val="0"/>
        <c:ser>
          <c:idx val="0"/>
          <c:order val="0"/>
          <c:tx>
            <c:v>NRd Kopf</c:v>
          </c:tx>
          <c:spPr>
            <a:ln w="25400" cap="rnd">
              <a:solidFill>
                <a:schemeClr val="accent1"/>
              </a:solidFill>
              <a:prstDash val="dash"/>
              <a:round/>
            </a:ln>
            <a:effectLst/>
          </c:spPr>
          <c:marker>
            <c:symbol val="none"/>
          </c:marker>
          <c:xVal>
            <c:numRef>
              <c:f>'Beispiel 2'!$W$100:$W$202</c:f>
              <c:numCache>
                <c:formatCode>General</c:formatCode>
                <c:ptCount val="103"/>
                <c:pt idx="0">
                  <c:v>0</c:v>
                </c:pt>
                <c:pt idx="1">
                  <c:v>0</c:v>
                </c:pt>
                <c:pt idx="2">
                  <c:v>0.78876811650000012</c:v>
                </c:pt>
                <c:pt idx="3">
                  <c:v>1.5632094660000004</c:v>
                </c:pt>
                <c:pt idx="4">
                  <c:v>2.3233240485000004</c:v>
                </c:pt>
                <c:pt idx="5">
                  <c:v>3.0691118640000008</c:v>
                </c:pt>
                <c:pt idx="6">
                  <c:v>3.8005729125000007</c:v>
                </c:pt>
                <c:pt idx="7">
                  <c:v>4.5177071940000006</c:v>
                </c:pt>
                <c:pt idx="8">
                  <c:v>5.2205147085000014</c:v>
                </c:pt>
                <c:pt idx="9">
                  <c:v>5.9089954560000013</c:v>
                </c:pt>
                <c:pt idx="10">
                  <c:v>6.5831494365000012</c:v>
                </c:pt>
                <c:pt idx="11">
                  <c:v>7.242976650000001</c:v>
                </c:pt>
                <c:pt idx="12">
                  <c:v>7.8884770965000017</c:v>
                </c:pt>
                <c:pt idx="13">
                  <c:v>8.5196507760000006</c:v>
                </c:pt>
                <c:pt idx="14">
                  <c:v>9.1364976885000022</c:v>
                </c:pt>
                <c:pt idx="15">
                  <c:v>9.739017834000002</c:v>
                </c:pt>
                <c:pt idx="16">
                  <c:v>10.3272112125</c:v>
                </c:pt>
                <c:pt idx="17">
                  <c:v>10.901077824000001</c:v>
                </c:pt>
                <c:pt idx="18">
                  <c:v>11.460617668500001</c:v>
                </c:pt>
                <c:pt idx="19">
                  <c:v>12.005830746000003</c:v>
                </c:pt>
                <c:pt idx="20">
                  <c:v>12.536717056500001</c:v>
                </c:pt>
                <c:pt idx="21">
                  <c:v>13.053276600000002</c:v>
                </c:pt>
                <c:pt idx="22">
                  <c:v>13.555509376500002</c:v>
                </c:pt>
                <c:pt idx="23">
                  <c:v>14.043415386000003</c:v>
                </c:pt>
                <c:pt idx="24">
                  <c:v>14.516994628500003</c:v>
                </c:pt>
                <c:pt idx="25">
                  <c:v>14.976247104</c:v>
                </c:pt>
                <c:pt idx="26">
                  <c:v>15.421172812500002</c:v>
                </c:pt>
                <c:pt idx="27">
                  <c:v>15.851771754000001</c:v>
                </c:pt>
                <c:pt idx="28">
                  <c:v>16.268043928500006</c:v>
                </c:pt>
                <c:pt idx="29">
                  <c:v>16.669989336000004</c:v>
                </c:pt>
                <c:pt idx="30">
                  <c:v>17.057607976500002</c:v>
                </c:pt>
                <c:pt idx="31">
                  <c:v>17.430899849999999</c:v>
                </c:pt>
                <c:pt idx="32">
                  <c:v>17.789864956500001</c:v>
                </c:pt>
                <c:pt idx="33">
                  <c:v>18.134503296000002</c:v>
                </c:pt>
                <c:pt idx="34">
                  <c:v>18.4648148685</c:v>
                </c:pt>
                <c:pt idx="35">
                  <c:v>18.780799674000001</c:v>
                </c:pt>
                <c:pt idx="36">
                  <c:v>19.082457712500002</c:v>
                </c:pt>
                <c:pt idx="37">
                  <c:v>19.369788984000003</c:v>
                </c:pt>
                <c:pt idx="38">
                  <c:v>19.642793488500001</c:v>
                </c:pt>
                <c:pt idx="39">
                  <c:v>19.901471225999998</c:v>
                </c:pt>
                <c:pt idx="40">
                  <c:v>20.145822196499999</c:v>
                </c:pt>
                <c:pt idx="41">
                  <c:v>20.3758464</c:v>
                </c:pt>
                <c:pt idx="42">
                  <c:v>20.591543836500001</c:v>
                </c:pt>
                <c:pt idx="43">
                  <c:v>20.792914506000002</c:v>
                </c:pt>
                <c:pt idx="44">
                  <c:v>20.9799584085</c:v>
                </c:pt>
                <c:pt idx="45">
                  <c:v>21.152675544000001</c:v>
                </c:pt>
                <c:pt idx="46">
                  <c:v>21.311065912500002</c:v>
                </c:pt>
                <c:pt idx="47">
                  <c:v>21.455129513999999</c:v>
                </c:pt>
                <c:pt idx="48">
                  <c:v>21.584866348499997</c:v>
                </c:pt>
                <c:pt idx="49">
                  <c:v>21.700276416000001</c:v>
                </c:pt>
                <c:pt idx="50">
                  <c:v>21.801359716500002</c:v>
                </c:pt>
                <c:pt idx="51">
                  <c:v>21.888116249999999</c:v>
                </c:pt>
                <c:pt idx="52">
                  <c:v>21.9605460165</c:v>
                </c:pt>
                <c:pt idx="53">
                  <c:v>22.018649015999998</c:v>
                </c:pt>
                <c:pt idx="54">
                  <c:v>22.062425248499995</c:v>
                </c:pt>
                <c:pt idx="55">
                  <c:v>22.091874714000006</c:v>
                </c:pt>
                <c:pt idx="56">
                  <c:v>22.106997412499997</c:v>
                </c:pt>
                <c:pt idx="57">
                  <c:v>22.107793344000001</c:v>
                </c:pt>
                <c:pt idx="58">
                  <c:v>22.094262508499998</c:v>
                </c:pt>
                <c:pt idx="59">
                  <c:v>22.066404906000002</c:v>
                </c:pt>
                <c:pt idx="60">
                  <c:v>22.0242205365</c:v>
                </c:pt>
                <c:pt idx="61">
                  <c:v>21.967709399999997</c:v>
                </c:pt>
                <c:pt idx="62">
                  <c:v>21.896871496499994</c:v>
                </c:pt>
                <c:pt idx="63">
                  <c:v>21.811706825999998</c:v>
                </c:pt>
                <c:pt idx="64">
                  <c:v>21.712215388500002</c:v>
                </c:pt>
                <c:pt idx="65">
                  <c:v>21.598397184</c:v>
                </c:pt>
                <c:pt idx="66">
                  <c:v>21.4702522125</c:v>
                </c:pt>
                <c:pt idx="67">
                  <c:v>21.327780473999994</c:v>
                </c:pt>
                <c:pt idx="68">
                  <c:v>21.170981968499991</c:v>
                </c:pt>
                <c:pt idx="69">
                  <c:v>20.999856695999995</c:v>
                </c:pt>
                <c:pt idx="70">
                  <c:v>20.814404656499995</c:v>
                </c:pt>
                <c:pt idx="71">
                  <c:v>20.614625849999996</c:v>
                </c:pt>
                <c:pt idx="72">
                  <c:v>20.400520276499996</c:v>
                </c:pt>
                <c:pt idx="73">
                  <c:v>20.172087936</c:v>
                </c:pt>
                <c:pt idx="74">
                  <c:v>19.929328828499997</c:v>
                </c:pt>
                <c:pt idx="75">
                  <c:v>19.672242953999994</c:v>
                </c:pt>
                <c:pt idx="76">
                  <c:v>19.400830312499995</c:v>
                </c:pt>
                <c:pt idx="77">
                  <c:v>19.115090903999995</c:v>
                </c:pt>
                <c:pt idx="78">
                  <c:v>18.815024728499999</c:v>
                </c:pt>
                <c:pt idx="79">
                  <c:v>18.500631785999992</c:v>
                </c:pt>
                <c:pt idx="80">
                  <c:v>18.171912076499986</c:v>
                </c:pt>
                <c:pt idx="81">
                  <c:v>17.82886559999999</c:v>
                </c:pt>
                <c:pt idx="82">
                  <c:v>17.47149235649999</c:v>
                </c:pt>
                <c:pt idx="83">
                  <c:v>17.099792345999994</c:v>
                </c:pt>
                <c:pt idx="84">
                  <c:v>16.713765568499998</c:v>
                </c:pt>
                <c:pt idx="85">
                  <c:v>16.313412023999998</c:v>
                </c:pt>
                <c:pt idx="86">
                  <c:v>15.898731712499984</c:v>
                </c:pt>
                <c:pt idx="87">
                  <c:v>15.469724633999995</c:v>
                </c:pt>
                <c:pt idx="88">
                  <c:v>15.02639078849999</c:v>
                </c:pt>
                <c:pt idx="89">
                  <c:v>14.568730175999988</c:v>
                </c:pt>
                <c:pt idx="90">
                  <c:v>14.096742796499992</c:v>
                </c:pt>
                <c:pt idx="91">
                  <c:v>13.610428649999996</c:v>
                </c:pt>
                <c:pt idx="92">
                  <c:v>13.109787736499994</c:v>
                </c:pt>
                <c:pt idx="93">
                  <c:v>12.594820055999982</c:v>
                </c:pt>
                <c:pt idx="94">
                  <c:v>12.065525608499993</c:v>
                </c:pt>
                <c:pt idx="95">
                  <c:v>11.521904393999989</c:v>
                </c:pt>
                <c:pt idx="96">
                  <c:v>10.963956412500002</c:v>
                </c:pt>
                <c:pt idx="97">
                  <c:v>10.391681663999989</c:v>
                </c:pt>
                <c:pt idx="98">
                  <c:v>9.8050801484999948</c:v>
                </c:pt>
                <c:pt idx="99">
                  <c:v>9.2041518659999895</c:v>
                </c:pt>
                <c:pt idx="100">
                  <c:v>8.588896816499977</c:v>
                </c:pt>
                <c:pt idx="101">
                  <c:v>7.9593149999999904</c:v>
                </c:pt>
                <c:pt idx="102">
                  <c:v>0</c:v>
                </c:pt>
              </c:numCache>
            </c:numRef>
          </c:xVal>
          <c:yVal>
            <c:numRef>
              <c:f>'Beispiel 2'!$U$100:$U$202</c:f>
              <c:numCache>
                <c:formatCode>General</c:formatCode>
                <c:ptCount val="103"/>
                <c:pt idx="0">
                  <c:v>0</c:v>
                </c:pt>
                <c:pt idx="1">
                  <c:v>0</c:v>
                </c:pt>
                <c:pt idx="2">
                  <c:v>6.4974000000000016</c:v>
                </c:pt>
                <c:pt idx="3">
                  <c:v>12.994800000000003</c:v>
                </c:pt>
                <c:pt idx="4">
                  <c:v>19.492200000000004</c:v>
                </c:pt>
                <c:pt idx="5">
                  <c:v>25.989600000000006</c:v>
                </c:pt>
                <c:pt idx="6">
                  <c:v>32.487000000000009</c:v>
                </c:pt>
                <c:pt idx="7">
                  <c:v>38.984400000000008</c:v>
                </c:pt>
                <c:pt idx="8">
                  <c:v>45.481800000000014</c:v>
                </c:pt>
                <c:pt idx="9">
                  <c:v>51.979200000000013</c:v>
                </c:pt>
                <c:pt idx="10">
                  <c:v>58.476600000000012</c:v>
                </c:pt>
                <c:pt idx="11">
                  <c:v>64.974000000000018</c:v>
                </c:pt>
                <c:pt idx="12">
                  <c:v>71.471400000000017</c:v>
                </c:pt>
                <c:pt idx="13">
                  <c:v>77.968800000000016</c:v>
                </c:pt>
                <c:pt idx="14">
                  <c:v>84.466200000000015</c:v>
                </c:pt>
                <c:pt idx="15">
                  <c:v>90.963600000000028</c:v>
                </c:pt>
                <c:pt idx="16">
                  <c:v>97.461000000000013</c:v>
                </c:pt>
                <c:pt idx="17">
                  <c:v>103.95840000000003</c:v>
                </c:pt>
                <c:pt idx="18">
                  <c:v>110.45580000000002</c:v>
                </c:pt>
                <c:pt idx="19">
                  <c:v>116.95320000000002</c:v>
                </c:pt>
                <c:pt idx="20">
                  <c:v>123.45060000000002</c:v>
                </c:pt>
                <c:pt idx="21">
                  <c:v>129.94800000000004</c:v>
                </c:pt>
                <c:pt idx="22">
                  <c:v>136.44540000000003</c:v>
                </c:pt>
                <c:pt idx="23">
                  <c:v>142.94280000000003</c:v>
                </c:pt>
                <c:pt idx="24">
                  <c:v>149.44020000000003</c:v>
                </c:pt>
                <c:pt idx="25">
                  <c:v>155.93760000000003</c:v>
                </c:pt>
                <c:pt idx="26">
                  <c:v>162.43500000000003</c:v>
                </c:pt>
                <c:pt idx="27">
                  <c:v>168.93240000000003</c:v>
                </c:pt>
                <c:pt idx="28">
                  <c:v>175.42980000000006</c:v>
                </c:pt>
                <c:pt idx="29">
                  <c:v>181.92720000000006</c:v>
                </c:pt>
                <c:pt idx="30">
                  <c:v>188.42460000000003</c:v>
                </c:pt>
                <c:pt idx="31">
                  <c:v>194.92200000000003</c:v>
                </c:pt>
                <c:pt idx="32">
                  <c:v>201.41940000000002</c:v>
                </c:pt>
                <c:pt idx="33">
                  <c:v>207.91680000000005</c:v>
                </c:pt>
                <c:pt idx="34">
                  <c:v>214.41420000000005</c:v>
                </c:pt>
                <c:pt idx="35">
                  <c:v>220.91160000000005</c:v>
                </c:pt>
                <c:pt idx="36">
                  <c:v>227.40900000000002</c:v>
                </c:pt>
                <c:pt idx="37">
                  <c:v>233.90640000000005</c:v>
                </c:pt>
                <c:pt idx="38">
                  <c:v>240.40380000000005</c:v>
                </c:pt>
                <c:pt idx="39">
                  <c:v>246.90120000000005</c:v>
                </c:pt>
                <c:pt idx="40">
                  <c:v>253.39860000000004</c:v>
                </c:pt>
                <c:pt idx="41">
                  <c:v>259.89600000000007</c:v>
                </c:pt>
                <c:pt idx="42">
                  <c:v>266.39340000000004</c:v>
                </c:pt>
                <c:pt idx="43">
                  <c:v>272.89080000000007</c:v>
                </c:pt>
                <c:pt idx="44">
                  <c:v>279.38820000000004</c:v>
                </c:pt>
                <c:pt idx="45">
                  <c:v>285.88560000000007</c:v>
                </c:pt>
                <c:pt idx="46">
                  <c:v>292.38300000000004</c:v>
                </c:pt>
                <c:pt idx="47">
                  <c:v>298.88040000000007</c:v>
                </c:pt>
                <c:pt idx="48">
                  <c:v>305.37780000000004</c:v>
                </c:pt>
                <c:pt idx="49">
                  <c:v>311.87520000000006</c:v>
                </c:pt>
                <c:pt idx="50">
                  <c:v>318.37260000000003</c:v>
                </c:pt>
                <c:pt idx="51">
                  <c:v>324.87000000000006</c:v>
                </c:pt>
                <c:pt idx="52">
                  <c:v>331.36740000000009</c:v>
                </c:pt>
                <c:pt idx="53">
                  <c:v>337.86480000000006</c:v>
                </c:pt>
                <c:pt idx="54">
                  <c:v>344.36220000000009</c:v>
                </c:pt>
                <c:pt idx="55">
                  <c:v>350.85960000000011</c:v>
                </c:pt>
                <c:pt idx="56">
                  <c:v>357.35700000000008</c:v>
                </c:pt>
                <c:pt idx="57">
                  <c:v>363.85440000000011</c:v>
                </c:pt>
                <c:pt idx="58">
                  <c:v>370.35180000000003</c:v>
                </c:pt>
                <c:pt idx="59">
                  <c:v>376.84920000000005</c:v>
                </c:pt>
                <c:pt idx="60">
                  <c:v>383.34660000000008</c:v>
                </c:pt>
                <c:pt idx="61">
                  <c:v>389.84400000000005</c:v>
                </c:pt>
                <c:pt idx="62">
                  <c:v>396.34140000000008</c:v>
                </c:pt>
                <c:pt idx="63">
                  <c:v>402.83880000000005</c:v>
                </c:pt>
                <c:pt idx="64">
                  <c:v>409.33620000000008</c:v>
                </c:pt>
                <c:pt idx="65">
                  <c:v>415.8336000000001</c:v>
                </c:pt>
                <c:pt idx="66">
                  <c:v>422.33100000000007</c:v>
                </c:pt>
                <c:pt idx="67">
                  <c:v>428.8284000000001</c:v>
                </c:pt>
                <c:pt idx="68">
                  <c:v>435.32580000000013</c:v>
                </c:pt>
                <c:pt idx="69">
                  <c:v>441.8232000000001</c:v>
                </c:pt>
                <c:pt idx="70">
                  <c:v>448.32060000000007</c:v>
                </c:pt>
                <c:pt idx="71">
                  <c:v>454.81800000000004</c:v>
                </c:pt>
                <c:pt idx="72">
                  <c:v>461.31540000000007</c:v>
                </c:pt>
                <c:pt idx="73">
                  <c:v>467.8128000000001</c:v>
                </c:pt>
                <c:pt idx="74">
                  <c:v>474.31020000000007</c:v>
                </c:pt>
                <c:pt idx="75">
                  <c:v>480.80760000000009</c:v>
                </c:pt>
                <c:pt idx="76">
                  <c:v>487.30500000000006</c:v>
                </c:pt>
                <c:pt idx="77">
                  <c:v>493.80240000000009</c:v>
                </c:pt>
                <c:pt idx="78">
                  <c:v>500.29980000000012</c:v>
                </c:pt>
                <c:pt idx="79">
                  <c:v>506.79720000000009</c:v>
                </c:pt>
                <c:pt idx="80">
                  <c:v>513.29460000000017</c:v>
                </c:pt>
                <c:pt idx="81">
                  <c:v>519.79200000000014</c:v>
                </c:pt>
                <c:pt idx="82">
                  <c:v>526.28940000000011</c:v>
                </c:pt>
                <c:pt idx="83">
                  <c:v>532.78680000000008</c:v>
                </c:pt>
                <c:pt idx="84">
                  <c:v>539.28420000000006</c:v>
                </c:pt>
                <c:pt idx="85">
                  <c:v>545.78160000000014</c:v>
                </c:pt>
                <c:pt idx="86">
                  <c:v>552.27900000000011</c:v>
                </c:pt>
                <c:pt idx="87">
                  <c:v>558.77640000000008</c:v>
                </c:pt>
                <c:pt idx="88">
                  <c:v>565.27380000000005</c:v>
                </c:pt>
                <c:pt idx="89">
                  <c:v>571.77120000000014</c:v>
                </c:pt>
                <c:pt idx="90">
                  <c:v>578.26860000000011</c:v>
                </c:pt>
                <c:pt idx="91">
                  <c:v>584.76600000000008</c:v>
                </c:pt>
                <c:pt idx="92">
                  <c:v>591.26340000000016</c:v>
                </c:pt>
                <c:pt idx="93">
                  <c:v>597.76080000000013</c:v>
                </c:pt>
                <c:pt idx="94">
                  <c:v>604.2582000000001</c:v>
                </c:pt>
                <c:pt idx="95">
                  <c:v>610.75560000000007</c:v>
                </c:pt>
                <c:pt idx="96">
                  <c:v>617.25300000000004</c:v>
                </c:pt>
                <c:pt idx="97">
                  <c:v>623.75040000000013</c:v>
                </c:pt>
                <c:pt idx="98">
                  <c:v>630.2478000000001</c:v>
                </c:pt>
                <c:pt idx="99">
                  <c:v>636.74520000000007</c:v>
                </c:pt>
                <c:pt idx="100">
                  <c:v>643.24260000000015</c:v>
                </c:pt>
                <c:pt idx="101">
                  <c:v>649.74000000000012</c:v>
                </c:pt>
                <c:pt idx="102">
                  <c:v>649.74000000000012</c:v>
                </c:pt>
              </c:numCache>
            </c:numRef>
          </c:yVal>
          <c:smooth val="1"/>
          <c:extLst>
            <c:ext xmlns:c16="http://schemas.microsoft.com/office/drawing/2014/chart" uri="{C3380CC4-5D6E-409C-BE32-E72D297353CC}">
              <c16:uniqueId val="{00000000-B624-4F5C-B78D-E1A086B26C8C}"/>
            </c:ext>
          </c:extLst>
        </c:ser>
        <c:ser>
          <c:idx val="2"/>
          <c:order val="1"/>
          <c:tx>
            <c:v>NRd Mitte</c:v>
          </c:tx>
          <c:spPr>
            <a:ln w="25400" cap="rnd">
              <a:solidFill>
                <a:schemeClr val="accent3">
                  <a:lumMod val="75000"/>
                </a:schemeClr>
              </a:solidFill>
              <a:prstDash val="lgDash"/>
              <a:round/>
            </a:ln>
            <a:effectLst/>
          </c:spPr>
          <c:marker>
            <c:symbol val="none"/>
          </c:marker>
          <c:xVal>
            <c:numRef>
              <c:f>'Beispiel 2'!$AH$100:$AH$202</c:f>
              <c:numCache>
                <c:formatCode>General</c:formatCode>
                <c:ptCount val="103"/>
                <c:pt idx="0">
                  <c:v>0</c:v>
                </c:pt>
                <c:pt idx="1">
                  <c:v>23.329091500000001</c:v>
                </c:pt>
                <c:pt idx="2">
                  <c:v>23.329091500000001</c:v>
                </c:pt>
                <c:pt idx="3">
                  <c:v>23.329091500000001</c:v>
                </c:pt>
                <c:pt idx="4">
                  <c:v>23.329091500000001</c:v>
                </c:pt>
                <c:pt idx="5">
                  <c:v>23.329091500000001</c:v>
                </c:pt>
                <c:pt idx="6">
                  <c:v>23.329091500000001</c:v>
                </c:pt>
                <c:pt idx="7">
                  <c:v>23.329091500000001</c:v>
                </c:pt>
                <c:pt idx="8">
                  <c:v>23.329091500000001</c:v>
                </c:pt>
                <c:pt idx="9">
                  <c:v>23.329091500000001</c:v>
                </c:pt>
                <c:pt idx="10">
                  <c:v>23.329091500000001</c:v>
                </c:pt>
                <c:pt idx="11">
                  <c:v>23.329091500000001</c:v>
                </c:pt>
                <c:pt idx="12">
                  <c:v>25.328285125000001</c:v>
                </c:pt>
                <c:pt idx="13">
                  <c:v>27.266803199999998</c:v>
                </c:pt>
                <c:pt idx="14">
                  <c:v>29.144645724999997</c:v>
                </c:pt>
                <c:pt idx="15">
                  <c:v>30.961812699999999</c:v>
                </c:pt>
                <c:pt idx="16">
                  <c:v>32.718304124999996</c:v>
                </c:pt>
                <c:pt idx="17">
                  <c:v>34.414119999999997</c:v>
                </c:pt>
                <c:pt idx="18">
                  <c:v>36.049260324999999</c:v>
                </c:pt>
                <c:pt idx="19">
                  <c:v>37.623725100000001</c:v>
                </c:pt>
                <c:pt idx="20">
                  <c:v>39.137514325000005</c:v>
                </c:pt>
                <c:pt idx="21">
                  <c:v>40.590628000000002</c:v>
                </c:pt>
                <c:pt idx="22">
                  <c:v>41.983066125000001</c:v>
                </c:pt>
                <c:pt idx="23">
                  <c:v>43.314828699999993</c:v>
                </c:pt>
                <c:pt idx="24">
                  <c:v>44.585915724999992</c:v>
                </c:pt>
                <c:pt idx="25">
                  <c:v>45.796327199999993</c:v>
                </c:pt>
                <c:pt idx="26">
                  <c:v>46.946063124999995</c:v>
                </c:pt>
                <c:pt idx="27">
                  <c:v>48.03512349999999</c:v>
                </c:pt>
                <c:pt idx="28">
                  <c:v>49.063508324999994</c:v>
                </c:pt>
                <c:pt idx="29">
                  <c:v>50.031217599999984</c:v>
                </c:pt>
                <c:pt idx="30">
                  <c:v>50.938251324999982</c:v>
                </c:pt>
                <c:pt idx="31">
                  <c:v>51.784609499999995</c:v>
                </c:pt>
                <c:pt idx="32">
                  <c:v>52.570292124999995</c:v>
                </c:pt>
                <c:pt idx="33">
                  <c:v>53.295299199999988</c:v>
                </c:pt>
                <c:pt idx="34">
                  <c:v>53.95963072499999</c:v>
                </c:pt>
                <c:pt idx="35">
                  <c:v>54.563286699999978</c:v>
                </c:pt>
                <c:pt idx="36">
                  <c:v>55.106267124999995</c:v>
                </c:pt>
                <c:pt idx="37">
                  <c:v>55.588571999999992</c:v>
                </c:pt>
                <c:pt idx="38">
                  <c:v>56.01020132499999</c:v>
                </c:pt>
                <c:pt idx="39">
                  <c:v>56.371155099999989</c:v>
                </c:pt>
                <c:pt idx="40">
                  <c:v>56.671433324999988</c:v>
                </c:pt>
                <c:pt idx="41">
                  <c:v>56.911035999999989</c:v>
                </c:pt>
                <c:pt idx="42">
                  <c:v>57.089963125000004</c:v>
                </c:pt>
                <c:pt idx="43">
                  <c:v>57.208214700000006</c:v>
                </c:pt>
                <c:pt idx="44">
                  <c:v>57.265790725000002</c:v>
                </c:pt>
                <c:pt idx="45">
                  <c:v>57.262691199999992</c:v>
                </c:pt>
                <c:pt idx="46">
                  <c:v>57.198916124999997</c:v>
                </c:pt>
                <c:pt idx="47">
                  <c:v>57.074465499999995</c:v>
                </c:pt>
                <c:pt idx="48">
                  <c:v>56.889339324999973</c:v>
                </c:pt>
                <c:pt idx="49">
                  <c:v>56.643537599999995</c:v>
                </c:pt>
                <c:pt idx="50">
                  <c:v>56.337060324999982</c:v>
                </c:pt>
                <c:pt idx="51">
                  <c:v>55.969907499999991</c:v>
                </c:pt>
                <c:pt idx="52">
                  <c:v>55.542079125000001</c:v>
                </c:pt>
                <c:pt idx="53">
                  <c:v>55.05357519999999</c:v>
                </c:pt>
                <c:pt idx="54">
                  <c:v>54.504395724999988</c:v>
                </c:pt>
                <c:pt idx="55">
                  <c:v>53.894540699999972</c:v>
                </c:pt>
                <c:pt idx="56">
                  <c:v>53.224010124999985</c:v>
                </c:pt>
                <c:pt idx="57">
                  <c:v>52.492803999999985</c:v>
                </c:pt>
                <c:pt idx="58">
                  <c:v>51.700922324999993</c:v>
                </c:pt>
                <c:pt idx="59">
                  <c:v>50.848365099999981</c:v>
                </c:pt>
                <c:pt idx="60">
                  <c:v>49.935132324999991</c:v>
                </c:pt>
                <c:pt idx="61">
                  <c:v>48.961223999999987</c:v>
                </c:pt>
                <c:pt idx="62">
                  <c:v>47.926640124999992</c:v>
                </c:pt>
                <c:pt idx="63">
                  <c:v>46.831380699999997</c:v>
                </c:pt>
                <c:pt idx="64">
                  <c:v>45.675445724999989</c:v>
                </c:pt>
                <c:pt idx="65">
                  <c:v>44.458835199999989</c:v>
                </c:pt>
                <c:pt idx="66">
                  <c:v>43.181549124999989</c:v>
                </c:pt>
                <c:pt idx="67">
                  <c:v>41.843587499999998</c:v>
                </c:pt>
                <c:pt idx="68">
                  <c:v>40.444950324999986</c:v>
                </c:pt>
                <c:pt idx="69">
                  <c:v>38.985637599999983</c:v>
                </c:pt>
                <c:pt idx="70">
                  <c:v>37.465649324999994</c:v>
                </c:pt>
                <c:pt idx="71">
                  <c:v>35.884985499999999</c:v>
                </c:pt>
                <c:pt idx="72">
                  <c:v>34.243646124999998</c:v>
                </c:pt>
                <c:pt idx="73">
                  <c:v>32.541631199999991</c:v>
                </c:pt>
                <c:pt idx="74">
                  <c:v>30.778940724999998</c:v>
                </c:pt>
                <c:pt idx="75">
                  <c:v>28.955574699999996</c:v>
                </c:pt>
                <c:pt idx="76">
                  <c:v>27.071533124999984</c:v>
                </c:pt>
                <c:pt idx="77">
                  <c:v>25.126815999999987</c:v>
                </c:pt>
                <c:pt idx="78">
                  <c:v>23.121423324999981</c:v>
                </c:pt>
                <c:pt idx="79">
                  <c:v>21.055355099999993</c:v>
                </c:pt>
                <c:pt idx="80">
                  <c:v>18.928611324999988</c:v>
                </c:pt>
                <c:pt idx="81">
                  <c:v>16.74119199999998</c:v>
                </c:pt>
                <c:pt idx="82">
                  <c:v>14.493097124999982</c:v>
                </c:pt>
                <c:pt idx="83">
                  <c:v>12.184326700000005</c:v>
                </c:pt>
                <c:pt idx="84">
                  <c:v>9.8148807250000019</c:v>
                </c:pt>
                <c:pt idx="85">
                  <c:v>7.3847591999999977</c:v>
                </c:pt>
                <c:pt idx="86">
                  <c:v>4.8939621249999998</c:v>
                </c:pt>
                <c:pt idx="87">
                  <c:v>2.3424894999999943</c:v>
                </c:pt>
                <c:pt idx="88">
                  <c:v>-0.26965867500000351</c:v>
                </c:pt>
                <c:pt idx="89">
                  <c:v>-2.9424824000000087</c:v>
                </c:pt>
                <c:pt idx="90">
                  <c:v>-5.6759816750000063</c:v>
                </c:pt>
                <c:pt idx="91">
                  <c:v>-8.4701565000000123</c:v>
                </c:pt>
                <c:pt idx="92">
                  <c:v>-11.325006875000012</c:v>
                </c:pt>
                <c:pt idx="93">
                  <c:v>-14.240532800000015</c:v>
                </c:pt>
                <c:pt idx="94">
                  <c:v>-17.216734275000018</c:v>
                </c:pt>
                <c:pt idx="95">
                  <c:v>-20.253611299999989</c:v>
                </c:pt>
                <c:pt idx="96">
                  <c:v>-23.351163875000026</c:v>
                </c:pt>
                <c:pt idx="97">
                  <c:v>-26.509391999999995</c:v>
                </c:pt>
                <c:pt idx="98">
                  <c:v>-29.72829567500003</c:v>
                </c:pt>
                <c:pt idx="99">
                  <c:v>-33.007874899999997</c:v>
                </c:pt>
                <c:pt idx="100">
                  <c:v>-36.348129675000038</c:v>
                </c:pt>
                <c:pt idx="101">
                  <c:v>-39.749060000000007</c:v>
                </c:pt>
                <c:pt idx="102">
                  <c:v>0</c:v>
                </c:pt>
              </c:numCache>
            </c:numRef>
          </c:xVal>
          <c:yVal>
            <c:numRef>
              <c:f>'Beispiel 2'!$AG$100:$AG$202</c:f>
              <c:numCache>
                <c:formatCode>General</c:formatCode>
                <c:ptCount val="103"/>
                <c:pt idx="0">
                  <c:v>1097.8396</c:v>
                </c:pt>
                <c:pt idx="1">
                  <c:v>1097.8396</c:v>
                </c:pt>
                <c:pt idx="2">
                  <c:v>1097.8396</c:v>
                </c:pt>
                <c:pt idx="3">
                  <c:v>1097.8396</c:v>
                </c:pt>
                <c:pt idx="4">
                  <c:v>1097.8396</c:v>
                </c:pt>
                <c:pt idx="5">
                  <c:v>1097.8396</c:v>
                </c:pt>
                <c:pt idx="6">
                  <c:v>1097.8396</c:v>
                </c:pt>
                <c:pt idx="7">
                  <c:v>1097.8396</c:v>
                </c:pt>
                <c:pt idx="8">
                  <c:v>1097.8396</c:v>
                </c:pt>
                <c:pt idx="9">
                  <c:v>1097.8396</c:v>
                </c:pt>
                <c:pt idx="10">
                  <c:v>1097.8396</c:v>
                </c:pt>
                <c:pt idx="11">
                  <c:v>1097.8396</c:v>
                </c:pt>
                <c:pt idx="12">
                  <c:v>1083.5630000000001</c:v>
                </c:pt>
                <c:pt idx="13">
                  <c:v>1069.2864</c:v>
                </c:pt>
                <c:pt idx="14">
                  <c:v>1055.0097999999998</c:v>
                </c:pt>
                <c:pt idx="15">
                  <c:v>1040.7331999999999</c:v>
                </c:pt>
                <c:pt idx="16">
                  <c:v>1026.4565999999998</c:v>
                </c:pt>
                <c:pt idx="17">
                  <c:v>1012.1799999999998</c:v>
                </c:pt>
                <c:pt idx="18">
                  <c:v>997.90339999999981</c:v>
                </c:pt>
                <c:pt idx="19">
                  <c:v>983.6268</c:v>
                </c:pt>
                <c:pt idx="20">
                  <c:v>969.35020000000009</c:v>
                </c:pt>
                <c:pt idx="21">
                  <c:v>955.07359999999994</c:v>
                </c:pt>
                <c:pt idx="22">
                  <c:v>940.79700000000003</c:v>
                </c:pt>
                <c:pt idx="23">
                  <c:v>926.52039999999988</c:v>
                </c:pt>
                <c:pt idx="24">
                  <c:v>912.24379999999985</c:v>
                </c:pt>
                <c:pt idx="25">
                  <c:v>897.96719999999993</c:v>
                </c:pt>
                <c:pt idx="26">
                  <c:v>883.6905999999999</c:v>
                </c:pt>
                <c:pt idx="27">
                  <c:v>869.41399999999976</c:v>
                </c:pt>
                <c:pt idx="28">
                  <c:v>855.13739999999984</c:v>
                </c:pt>
                <c:pt idx="29">
                  <c:v>840.8607999999997</c:v>
                </c:pt>
                <c:pt idx="30">
                  <c:v>826.58419999999978</c:v>
                </c:pt>
                <c:pt idx="31">
                  <c:v>812.30759999999987</c:v>
                </c:pt>
                <c:pt idx="32">
                  <c:v>798.03099999999984</c:v>
                </c:pt>
                <c:pt idx="33">
                  <c:v>783.75439999999981</c:v>
                </c:pt>
                <c:pt idx="34">
                  <c:v>769.47779999999977</c:v>
                </c:pt>
                <c:pt idx="35">
                  <c:v>755.20119999999963</c:v>
                </c:pt>
                <c:pt idx="36">
                  <c:v>740.92459999999994</c:v>
                </c:pt>
                <c:pt idx="37">
                  <c:v>726.64799999999991</c:v>
                </c:pt>
                <c:pt idx="38">
                  <c:v>712.37139999999988</c:v>
                </c:pt>
                <c:pt idx="39">
                  <c:v>698.09479999999985</c:v>
                </c:pt>
                <c:pt idx="40">
                  <c:v>683.81819999999982</c:v>
                </c:pt>
                <c:pt idx="41">
                  <c:v>669.54159999999979</c:v>
                </c:pt>
                <c:pt idx="42">
                  <c:v>655.2650000000001</c:v>
                </c:pt>
                <c:pt idx="43">
                  <c:v>640.98840000000007</c:v>
                </c:pt>
                <c:pt idx="44">
                  <c:v>626.71180000000004</c:v>
                </c:pt>
                <c:pt idx="45">
                  <c:v>612.4351999999999</c:v>
                </c:pt>
                <c:pt idx="46">
                  <c:v>598.15859999999998</c:v>
                </c:pt>
                <c:pt idx="47">
                  <c:v>583.88199999999995</c:v>
                </c:pt>
                <c:pt idx="48">
                  <c:v>569.6053999999998</c:v>
                </c:pt>
                <c:pt idx="49">
                  <c:v>555.3288</c:v>
                </c:pt>
                <c:pt idx="50">
                  <c:v>541.05219999999986</c:v>
                </c:pt>
                <c:pt idx="51">
                  <c:v>526.77559999999994</c:v>
                </c:pt>
                <c:pt idx="52">
                  <c:v>512.49900000000002</c:v>
                </c:pt>
                <c:pt idx="53">
                  <c:v>498.22239999999988</c:v>
                </c:pt>
                <c:pt idx="54">
                  <c:v>483.94579999999985</c:v>
                </c:pt>
                <c:pt idx="55">
                  <c:v>469.66919999999971</c:v>
                </c:pt>
                <c:pt idx="56">
                  <c:v>455.39259999999985</c:v>
                </c:pt>
                <c:pt idx="57">
                  <c:v>441.11599999999987</c:v>
                </c:pt>
                <c:pt idx="58">
                  <c:v>426.83940000000001</c:v>
                </c:pt>
                <c:pt idx="59">
                  <c:v>412.56279999999992</c:v>
                </c:pt>
                <c:pt idx="60">
                  <c:v>398.28619999999995</c:v>
                </c:pt>
                <c:pt idx="61">
                  <c:v>384.00959999999992</c:v>
                </c:pt>
                <c:pt idx="62">
                  <c:v>369.73299999999995</c:v>
                </c:pt>
                <c:pt idx="63">
                  <c:v>355.45639999999997</c:v>
                </c:pt>
                <c:pt idx="64">
                  <c:v>341.17979999999994</c:v>
                </c:pt>
                <c:pt idx="65">
                  <c:v>326.90319999999991</c:v>
                </c:pt>
                <c:pt idx="66">
                  <c:v>312.62659999999994</c:v>
                </c:pt>
                <c:pt idx="67">
                  <c:v>298.34999999999997</c:v>
                </c:pt>
                <c:pt idx="68">
                  <c:v>284.07339999999988</c:v>
                </c:pt>
                <c:pt idx="69">
                  <c:v>269.79679999999985</c:v>
                </c:pt>
                <c:pt idx="70">
                  <c:v>255.52020000000002</c:v>
                </c:pt>
                <c:pt idx="71">
                  <c:v>241.24360000000001</c:v>
                </c:pt>
                <c:pt idx="72">
                  <c:v>226.96700000000001</c:v>
                </c:pt>
                <c:pt idx="73">
                  <c:v>212.69039999999995</c:v>
                </c:pt>
                <c:pt idx="74">
                  <c:v>198.41380000000001</c:v>
                </c:pt>
                <c:pt idx="75">
                  <c:v>184.13719999999998</c:v>
                </c:pt>
                <c:pt idx="76">
                  <c:v>169.86059999999992</c:v>
                </c:pt>
                <c:pt idx="77">
                  <c:v>155.58399999999992</c:v>
                </c:pt>
                <c:pt idx="78">
                  <c:v>141.30739999999989</c:v>
                </c:pt>
                <c:pt idx="79">
                  <c:v>127.03079999999994</c:v>
                </c:pt>
                <c:pt idx="80">
                  <c:v>112.75419999999993</c:v>
                </c:pt>
                <c:pt idx="81">
                  <c:v>98.477599999999882</c:v>
                </c:pt>
                <c:pt idx="82">
                  <c:v>84.200999999999894</c:v>
                </c:pt>
                <c:pt idx="83">
                  <c:v>69.924400000000034</c:v>
                </c:pt>
                <c:pt idx="84">
                  <c:v>55.647800000000018</c:v>
                </c:pt>
                <c:pt idx="85">
                  <c:v>41.371199999999988</c:v>
                </c:pt>
                <c:pt idx="86">
                  <c:v>27.0946</c:v>
                </c:pt>
                <c:pt idx="87">
                  <c:v>12.817999999999969</c:v>
                </c:pt>
                <c:pt idx="88">
                  <c:v>-1.4586000000000192</c:v>
                </c:pt>
                <c:pt idx="89">
                  <c:v>-15.735200000000047</c:v>
                </c:pt>
                <c:pt idx="90">
                  <c:v>-30.011800000000036</c:v>
                </c:pt>
                <c:pt idx="91">
                  <c:v>-44.28840000000006</c:v>
                </c:pt>
                <c:pt idx="92">
                  <c:v>-58.565000000000069</c:v>
                </c:pt>
                <c:pt idx="93">
                  <c:v>-72.841600000000071</c:v>
                </c:pt>
                <c:pt idx="94">
                  <c:v>-87.118200000000087</c:v>
                </c:pt>
                <c:pt idx="95">
                  <c:v>-101.39479999999995</c:v>
                </c:pt>
                <c:pt idx="96">
                  <c:v>-115.67140000000013</c:v>
                </c:pt>
                <c:pt idx="97">
                  <c:v>-129.94799999999998</c:v>
                </c:pt>
                <c:pt idx="98">
                  <c:v>-144.22460000000015</c:v>
                </c:pt>
                <c:pt idx="99">
                  <c:v>-158.50119999999998</c:v>
                </c:pt>
                <c:pt idx="100">
                  <c:v>-172.77780000000018</c:v>
                </c:pt>
                <c:pt idx="101">
                  <c:v>-187.05440000000004</c:v>
                </c:pt>
                <c:pt idx="102">
                  <c:v>0</c:v>
                </c:pt>
              </c:numCache>
            </c:numRef>
          </c:yVal>
          <c:smooth val="1"/>
          <c:extLst>
            <c:ext xmlns:c16="http://schemas.microsoft.com/office/drawing/2014/chart" uri="{C3380CC4-5D6E-409C-BE32-E72D297353CC}">
              <c16:uniqueId val="{00000001-B624-4F5C-B78D-E1A086B26C8C}"/>
            </c:ext>
          </c:extLst>
        </c:ser>
        <c:ser>
          <c:idx val="1"/>
          <c:order val="2"/>
          <c:tx>
            <c:v>NRd Fuß</c:v>
          </c:tx>
          <c:spPr>
            <a:ln w="25400" cap="rnd">
              <a:solidFill>
                <a:schemeClr val="accent2"/>
              </a:solidFill>
              <a:prstDash val="sysDash"/>
              <a:round/>
            </a:ln>
            <a:effectLst/>
          </c:spPr>
          <c:marker>
            <c:symbol val="none"/>
          </c:marker>
          <c:xVal>
            <c:numRef>
              <c:f>'Beispiel 2'!$AA$100:$AA$202</c:f>
              <c:numCache>
                <c:formatCode>General</c:formatCode>
                <c:ptCount val="103"/>
                <c:pt idx="0">
                  <c:v>0</c:v>
                </c:pt>
                <c:pt idx="1">
                  <c:v>0</c:v>
                </c:pt>
                <c:pt idx="2">
                  <c:v>0.78876811650000012</c:v>
                </c:pt>
                <c:pt idx="3">
                  <c:v>1.5632094660000004</c:v>
                </c:pt>
                <c:pt idx="4">
                  <c:v>2.3233240485000004</c:v>
                </c:pt>
                <c:pt idx="5">
                  <c:v>3.0691118640000008</c:v>
                </c:pt>
                <c:pt idx="6">
                  <c:v>3.8005729125000007</c:v>
                </c:pt>
                <c:pt idx="7">
                  <c:v>4.5177071940000006</c:v>
                </c:pt>
                <c:pt idx="8">
                  <c:v>5.2205147085000014</c:v>
                </c:pt>
                <c:pt idx="9">
                  <c:v>5.9089954560000013</c:v>
                </c:pt>
                <c:pt idx="10">
                  <c:v>6.5831494365000012</c:v>
                </c:pt>
                <c:pt idx="11">
                  <c:v>7.242976650000001</c:v>
                </c:pt>
                <c:pt idx="12">
                  <c:v>7.8884770965000017</c:v>
                </c:pt>
                <c:pt idx="13">
                  <c:v>8.5196507760000006</c:v>
                </c:pt>
                <c:pt idx="14">
                  <c:v>9.1364976885000022</c:v>
                </c:pt>
                <c:pt idx="15">
                  <c:v>9.739017834000002</c:v>
                </c:pt>
                <c:pt idx="16">
                  <c:v>10.3272112125</c:v>
                </c:pt>
                <c:pt idx="17">
                  <c:v>10.901077824000001</c:v>
                </c:pt>
                <c:pt idx="18">
                  <c:v>11.460617668500001</c:v>
                </c:pt>
                <c:pt idx="19">
                  <c:v>12.005830746000003</c:v>
                </c:pt>
                <c:pt idx="20">
                  <c:v>12.536717056500001</c:v>
                </c:pt>
                <c:pt idx="21">
                  <c:v>13.053276600000002</c:v>
                </c:pt>
                <c:pt idx="22">
                  <c:v>13.555509376500002</c:v>
                </c:pt>
                <c:pt idx="23">
                  <c:v>14.043415386000003</c:v>
                </c:pt>
                <c:pt idx="24">
                  <c:v>14.516994628500003</c:v>
                </c:pt>
                <c:pt idx="25">
                  <c:v>14.976247104</c:v>
                </c:pt>
                <c:pt idx="26">
                  <c:v>15.421172812500002</c:v>
                </c:pt>
                <c:pt idx="27">
                  <c:v>15.851771754000001</c:v>
                </c:pt>
                <c:pt idx="28">
                  <c:v>16.268043928500006</c:v>
                </c:pt>
                <c:pt idx="29">
                  <c:v>16.669989336000004</c:v>
                </c:pt>
                <c:pt idx="30">
                  <c:v>17.057607976500002</c:v>
                </c:pt>
                <c:pt idx="31">
                  <c:v>17.430899849999999</c:v>
                </c:pt>
                <c:pt idx="32">
                  <c:v>17.789864956500001</c:v>
                </c:pt>
                <c:pt idx="33">
                  <c:v>18.134503296000002</c:v>
                </c:pt>
                <c:pt idx="34">
                  <c:v>18.4648148685</c:v>
                </c:pt>
                <c:pt idx="35">
                  <c:v>18.780799674000001</c:v>
                </c:pt>
                <c:pt idx="36">
                  <c:v>19.082457712500002</c:v>
                </c:pt>
                <c:pt idx="37">
                  <c:v>19.369788984000003</c:v>
                </c:pt>
                <c:pt idx="38">
                  <c:v>19.642793488500001</c:v>
                </c:pt>
                <c:pt idx="39">
                  <c:v>19.901471225999998</c:v>
                </c:pt>
                <c:pt idx="40">
                  <c:v>20.145822196499999</c:v>
                </c:pt>
                <c:pt idx="41">
                  <c:v>20.3758464</c:v>
                </c:pt>
                <c:pt idx="42">
                  <c:v>20.591543836500001</c:v>
                </c:pt>
                <c:pt idx="43">
                  <c:v>20.792914506000002</c:v>
                </c:pt>
                <c:pt idx="44">
                  <c:v>20.9799584085</c:v>
                </c:pt>
                <c:pt idx="45">
                  <c:v>21.152675544000001</c:v>
                </c:pt>
                <c:pt idx="46">
                  <c:v>21.311065912500002</c:v>
                </c:pt>
                <c:pt idx="47">
                  <c:v>21.455129513999999</c:v>
                </c:pt>
                <c:pt idx="48">
                  <c:v>21.584866348499997</c:v>
                </c:pt>
                <c:pt idx="49">
                  <c:v>21.700276416000001</c:v>
                </c:pt>
                <c:pt idx="50">
                  <c:v>21.801359716500002</c:v>
                </c:pt>
                <c:pt idx="51">
                  <c:v>21.888116249999999</c:v>
                </c:pt>
                <c:pt idx="52">
                  <c:v>21.9605460165</c:v>
                </c:pt>
                <c:pt idx="53">
                  <c:v>22.018649015999998</c:v>
                </c:pt>
                <c:pt idx="54">
                  <c:v>22.062425248499995</c:v>
                </c:pt>
                <c:pt idx="55">
                  <c:v>22.091874714000006</c:v>
                </c:pt>
                <c:pt idx="56">
                  <c:v>22.106997412499997</c:v>
                </c:pt>
                <c:pt idx="57">
                  <c:v>22.107793344000001</c:v>
                </c:pt>
                <c:pt idx="58">
                  <c:v>22.094262508499998</c:v>
                </c:pt>
                <c:pt idx="59">
                  <c:v>22.066404906000002</c:v>
                </c:pt>
                <c:pt idx="60">
                  <c:v>22.0242205365</c:v>
                </c:pt>
                <c:pt idx="61">
                  <c:v>21.967709399999997</c:v>
                </c:pt>
                <c:pt idx="62">
                  <c:v>21.896871496499994</c:v>
                </c:pt>
                <c:pt idx="63">
                  <c:v>21.811706825999998</c:v>
                </c:pt>
                <c:pt idx="64">
                  <c:v>21.712215388500002</c:v>
                </c:pt>
                <c:pt idx="65">
                  <c:v>21.598397184</c:v>
                </c:pt>
                <c:pt idx="66">
                  <c:v>21.4702522125</c:v>
                </c:pt>
                <c:pt idx="67">
                  <c:v>21.327780473999994</c:v>
                </c:pt>
                <c:pt idx="68">
                  <c:v>21.170981968499991</c:v>
                </c:pt>
                <c:pt idx="69">
                  <c:v>20.999856695999995</c:v>
                </c:pt>
                <c:pt idx="70">
                  <c:v>20.814404656499995</c:v>
                </c:pt>
                <c:pt idx="71">
                  <c:v>20.614625849999996</c:v>
                </c:pt>
                <c:pt idx="72">
                  <c:v>20.400520276499996</c:v>
                </c:pt>
                <c:pt idx="73">
                  <c:v>20.172087936</c:v>
                </c:pt>
                <c:pt idx="74">
                  <c:v>19.929328828499997</c:v>
                </c:pt>
                <c:pt idx="75">
                  <c:v>19.672242953999994</c:v>
                </c:pt>
                <c:pt idx="76">
                  <c:v>19.400830312499995</c:v>
                </c:pt>
                <c:pt idx="77">
                  <c:v>19.115090903999995</c:v>
                </c:pt>
                <c:pt idx="78">
                  <c:v>18.815024728499999</c:v>
                </c:pt>
                <c:pt idx="79">
                  <c:v>18.500631785999992</c:v>
                </c:pt>
                <c:pt idx="80">
                  <c:v>18.171912076499986</c:v>
                </c:pt>
                <c:pt idx="81">
                  <c:v>17.82886559999999</c:v>
                </c:pt>
                <c:pt idx="82">
                  <c:v>17.47149235649999</c:v>
                </c:pt>
                <c:pt idx="83">
                  <c:v>17.099792345999994</c:v>
                </c:pt>
                <c:pt idx="84">
                  <c:v>16.713765568499998</c:v>
                </c:pt>
                <c:pt idx="85">
                  <c:v>16.313412023999998</c:v>
                </c:pt>
                <c:pt idx="86">
                  <c:v>15.898731712499984</c:v>
                </c:pt>
                <c:pt idx="87">
                  <c:v>15.469724633999995</c:v>
                </c:pt>
                <c:pt idx="88">
                  <c:v>15.02639078849999</c:v>
                </c:pt>
                <c:pt idx="89">
                  <c:v>14.568730175999988</c:v>
                </c:pt>
                <c:pt idx="90">
                  <c:v>14.096742796499992</c:v>
                </c:pt>
                <c:pt idx="91">
                  <c:v>13.610428649999996</c:v>
                </c:pt>
                <c:pt idx="92">
                  <c:v>13.109787736499994</c:v>
                </c:pt>
                <c:pt idx="93">
                  <c:v>12.594820055999982</c:v>
                </c:pt>
                <c:pt idx="94">
                  <c:v>12.065525608499993</c:v>
                </c:pt>
                <c:pt idx="95">
                  <c:v>11.521904393999989</c:v>
                </c:pt>
                <c:pt idx="96">
                  <c:v>10.963956412500002</c:v>
                </c:pt>
                <c:pt idx="97">
                  <c:v>10.391681663999989</c:v>
                </c:pt>
                <c:pt idx="98">
                  <c:v>9.8050801484999948</c:v>
                </c:pt>
                <c:pt idx="99">
                  <c:v>9.2041518659999895</c:v>
                </c:pt>
                <c:pt idx="100">
                  <c:v>8.588896816499977</c:v>
                </c:pt>
                <c:pt idx="101">
                  <c:v>7.9593149999999904</c:v>
                </c:pt>
                <c:pt idx="102">
                  <c:v>0</c:v>
                </c:pt>
              </c:numCache>
            </c:numRef>
          </c:xVal>
          <c:yVal>
            <c:numRef>
              <c:f>'Beispiel 2'!$Y$100:$Y$202</c:f>
              <c:numCache>
                <c:formatCode>General</c:formatCode>
                <c:ptCount val="103"/>
                <c:pt idx="0">
                  <c:v>0</c:v>
                </c:pt>
                <c:pt idx="1">
                  <c:v>0</c:v>
                </c:pt>
                <c:pt idx="2">
                  <c:v>6.4974000000000016</c:v>
                </c:pt>
                <c:pt idx="3">
                  <c:v>12.994800000000003</c:v>
                </c:pt>
                <c:pt idx="4">
                  <c:v>19.492200000000004</c:v>
                </c:pt>
                <c:pt idx="5">
                  <c:v>25.989600000000006</c:v>
                </c:pt>
                <c:pt idx="6">
                  <c:v>32.487000000000009</c:v>
                </c:pt>
                <c:pt idx="7">
                  <c:v>38.984400000000008</c:v>
                </c:pt>
                <c:pt idx="8">
                  <c:v>45.481800000000014</c:v>
                </c:pt>
                <c:pt idx="9">
                  <c:v>51.979200000000013</c:v>
                </c:pt>
                <c:pt idx="10">
                  <c:v>58.476600000000012</c:v>
                </c:pt>
                <c:pt idx="11">
                  <c:v>64.974000000000018</c:v>
                </c:pt>
                <c:pt idx="12">
                  <c:v>71.471400000000017</c:v>
                </c:pt>
                <c:pt idx="13">
                  <c:v>77.968800000000016</c:v>
                </c:pt>
                <c:pt idx="14">
                  <c:v>84.466200000000015</c:v>
                </c:pt>
                <c:pt idx="15">
                  <c:v>90.963600000000028</c:v>
                </c:pt>
                <c:pt idx="16">
                  <c:v>97.461000000000013</c:v>
                </c:pt>
                <c:pt idx="17">
                  <c:v>103.95840000000003</c:v>
                </c:pt>
                <c:pt idx="18">
                  <c:v>110.45580000000002</c:v>
                </c:pt>
                <c:pt idx="19">
                  <c:v>116.95320000000002</c:v>
                </c:pt>
                <c:pt idx="20">
                  <c:v>123.45060000000002</c:v>
                </c:pt>
                <c:pt idx="21">
                  <c:v>129.94800000000004</c:v>
                </c:pt>
                <c:pt idx="22">
                  <c:v>136.44540000000003</c:v>
                </c:pt>
                <c:pt idx="23">
                  <c:v>142.94280000000003</c:v>
                </c:pt>
                <c:pt idx="24">
                  <c:v>149.44020000000003</c:v>
                </c:pt>
                <c:pt idx="25">
                  <c:v>155.93760000000003</c:v>
                </c:pt>
                <c:pt idx="26">
                  <c:v>162.43500000000003</c:v>
                </c:pt>
                <c:pt idx="27">
                  <c:v>168.93240000000003</c:v>
                </c:pt>
                <c:pt idx="28">
                  <c:v>175.42980000000006</c:v>
                </c:pt>
                <c:pt idx="29">
                  <c:v>181.92720000000006</c:v>
                </c:pt>
                <c:pt idx="30">
                  <c:v>188.42460000000003</c:v>
                </c:pt>
                <c:pt idx="31">
                  <c:v>194.92200000000003</c:v>
                </c:pt>
                <c:pt idx="32">
                  <c:v>201.41940000000002</c:v>
                </c:pt>
                <c:pt idx="33">
                  <c:v>207.91680000000005</c:v>
                </c:pt>
                <c:pt idx="34">
                  <c:v>214.41420000000005</c:v>
                </c:pt>
                <c:pt idx="35">
                  <c:v>220.91160000000005</c:v>
                </c:pt>
                <c:pt idx="36">
                  <c:v>227.40900000000002</c:v>
                </c:pt>
                <c:pt idx="37">
                  <c:v>233.90640000000005</c:v>
                </c:pt>
                <c:pt idx="38">
                  <c:v>240.40380000000005</c:v>
                </c:pt>
                <c:pt idx="39">
                  <c:v>246.90120000000005</c:v>
                </c:pt>
                <c:pt idx="40">
                  <c:v>253.39860000000004</c:v>
                </c:pt>
                <c:pt idx="41">
                  <c:v>259.89600000000007</c:v>
                </c:pt>
                <c:pt idx="42">
                  <c:v>266.39340000000004</c:v>
                </c:pt>
                <c:pt idx="43">
                  <c:v>272.89080000000007</c:v>
                </c:pt>
                <c:pt idx="44">
                  <c:v>279.38820000000004</c:v>
                </c:pt>
                <c:pt idx="45">
                  <c:v>285.88560000000007</c:v>
                </c:pt>
                <c:pt idx="46">
                  <c:v>292.38300000000004</c:v>
                </c:pt>
                <c:pt idx="47">
                  <c:v>298.88040000000007</c:v>
                </c:pt>
                <c:pt idx="48">
                  <c:v>305.37780000000004</c:v>
                </c:pt>
                <c:pt idx="49">
                  <c:v>311.87520000000006</c:v>
                </c:pt>
                <c:pt idx="50">
                  <c:v>318.37260000000003</c:v>
                </c:pt>
                <c:pt idx="51">
                  <c:v>324.87000000000006</c:v>
                </c:pt>
                <c:pt idx="52">
                  <c:v>331.36740000000009</c:v>
                </c:pt>
                <c:pt idx="53">
                  <c:v>337.86480000000006</c:v>
                </c:pt>
                <c:pt idx="54">
                  <c:v>344.36220000000009</c:v>
                </c:pt>
                <c:pt idx="55">
                  <c:v>350.85960000000011</c:v>
                </c:pt>
                <c:pt idx="56">
                  <c:v>357.35700000000008</c:v>
                </c:pt>
                <c:pt idx="57">
                  <c:v>363.85440000000011</c:v>
                </c:pt>
                <c:pt idx="58">
                  <c:v>370.35180000000003</c:v>
                </c:pt>
                <c:pt idx="59">
                  <c:v>376.84920000000005</c:v>
                </c:pt>
                <c:pt idx="60">
                  <c:v>383.34660000000008</c:v>
                </c:pt>
                <c:pt idx="61">
                  <c:v>389.84400000000005</c:v>
                </c:pt>
                <c:pt idx="62">
                  <c:v>396.34140000000008</c:v>
                </c:pt>
                <c:pt idx="63">
                  <c:v>402.83880000000005</c:v>
                </c:pt>
                <c:pt idx="64">
                  <c:v>409.33620000000008</c:v>
                </c:pt>
                <c:pt idx="65">
                  <c:v>415.8336000000001</c:v>
                </c:pt>
                <c:pt idx="66">
                  <c:v>422.33100000000007</c:v>
                </c:pt>
                <c:pt idx="67">
                  <c:v>428.8284000000001</c:v>
                </c:pt>
                <c:pt idx="68">
                  <c:v>435.32580000000013</c:v>
                </c:pt>
                <c:pt idx="69">
                  <c:v>441.8232000000001</c:v>
                </c:pt>
                <c:pt idx="70">
                  <c:v>448.32060000000007</c:v>
                </c:pt>
                <c:pt idx="71">
                  <c:v>454.81800000000004</c:v>
                </c:pt>
                <c:pt idx="72">
                  <c:v>461.31540000000007</c:v>
                </c:pt>
                <c:pt idx="73">
                  <c:v>467.8128000000001</c:v>
                </c:pt>
                <c:pt idx="74">
                  <c:v>474.31020000000007</c:v>
                </c:pt>
                <c:pt idx="75">
                  <c:v>480.80760000000009</c:v>
                </c:pt>
                <c:pt idx="76">
                  <c:v>487.30500000000006</c:v>
                </c:pt>
                <c:pt idx="77">
                  <c:v>493.80240000000009</c:v>
                </c:pt>
                <c:pt idx="78">
                  <c:v>500.29980000000012</c:v>
                </c:pt>
                <c:pt idx="79">
                  <c:v>506.79720000000009</c:v>
                </c:pt>
                <c:pt idx="80">
                  <c:v>513.29460000000017</c:v>
                </c:pt>
                <c:pt idx="81">
                  <c:v>519.79200000000014</c:v>
                </c:pt>
                <c:pt idx="82">
                  <c:v>526.28940000000011</c:v>
                </c:pt>
                <c:pt idx="83">
                  <c:v>532.78680000000008</c:v>
                </c:pt>
                <c:pt idx="84">
                  <c:v>539.28420000000006</c:v>
                </c:pt>
                <c:pt idx="85">
                  <c:v>545.78160000000014</c:v>
                </c:pt>
                <c:pt idx="86">
                  <c:v>552.27900000000011</c:v>
                </c:pt>
                <c:pt idx="87">
                  <c:v>558.77640000000008</c:v>
                </c:pt>
                <c:pt idx="88">
                  <c:v>565.27380000000005</c:v>
                </c:pt>
                <c:pt idx="89">
                  <c:v>571.77120000000014</c:v>
                </c:pt>
                <c:pt idx="90">
                  <c:v>578.26860000000011</c:v>
                </c:pt>
                <c:pt idx="91">
                  <c:v>584.76600000000008</c:v>
                </c:pt>
                <c:pt idx="92">
                  <c:v>591.26340000000016</c:v>
                </c:pt>
                <c:pt idx="93">
                  <c:v>597.76080000000013</c:v>
                </c:pt>
                <c:pt idx="94">
                  <c:v>604.2582000000001</c:v>
                </c:pt>
                <c:pt idx="95">
                  <c:v>610.75560000000007</c:v>
                </c:pt>
                <c:pt idx="96">
                  <c:v>617.25300000000004</c:v>
                </c:pt>
                <c:pt idx="97">
                  <c:v>623.75040000000013</c:v>
                </c:pt>
                <c:pt idx="98">
                  <c:v>630.2478000000001</c:v>
                </c:pt>
                <c:pt idx="99">
                  <c:v>636.74520000000007</c:v>
                </c:pt>
                <c:pt idx="100">
                  <c:v>643.24260000000015</c:v>
                </c:pt>
                <c:pt idx="101">
                  <c:v>649.74000000000012</c:v>
                </c:pt>
                <c:pt idx="102">
                  <c:v>649.74000000000012</c:v>
                </c:pt>
              </c:numCache>
            </c:numRef>
          </c:yVal>
          <c:smooth val="1"/>
          <c:extLst>
            <c:ext xmlns:c16="http://schemas.microsoft.com/office/drawing/2014/chart" uri="{C3380CC4-5D6E-409C-BE32-E72D297353CC}">
              <c16:uniqueId val="{00000002-B624-4F5C-B78D-E1A086B26C8C}"/>
            </c:ext>
          </c:extLst>
        </c:ser>
        <c:ser>
          <c:idx val="3"/>
          <c:order val="3"/>
          <c:tx>
            <c:v>M/N Kopf</c:v>
          </c:tx>
          <c:spPr>
            <a:ln w="19050" cap="rnd">
              <a:noFill/>
              <a:round/>
            </a:ln>
            <a:effectLst/>
          </c:spPr>
          <c:marker>
            <c:symbol val="star"/>
            <c:size val="8"/>
            <c:spPr>
              <a:noFill/>
              <a:ln w="19050">
                <a:solidFill>
                  <a:schemeClr val="accent1"/>
                </a:solidFill>
              </a:ln>
              <a:effectLst/>
            </c:spPr>
          </c:marker>
          <c:xVal>
            <c:numRef>
              <c:f>'Beispiel 2'!$U$96</c:f>
              <c:numCache>
                <c:formatCode>General</c:formatCode>
                <c:ptCount val="1"/>
                <c:pt idx="0">
                  <c:v>5.9135650000000002</c:v>
                </c:pt>
              </c:numCache>
            </c:numRef>
          </c:xVal>
          <c:yVal>
            <c:numRef>
              <c:f>'Beispiel 2'!$U$97</c:f>
              <c:numCache>
                <c:formatCode>General</c:formatCode>
                <c:ptCount val="1"/>
                <c:pt idx="0">
                  <c:v>482.74</c:v>
                </c:pt>
              </c:numCache>
            </c:numRef>
          </c:yVal>
          <c:smooth val="1"/>
          <c:extLst>
            <c:ext xmlns:c16="http://schemas.microsoft.com/office/drawing/2014/chart" uri="{C3380CC4-5D6E-409C-BE32-E72D297353CC}">
              <c16:uniqueId val="{00000003-B624-4F5C-B78D-E1A086B26C8C}"/>
            </c:ext>
          </c:extLst>
        </c:ser>
        <c:ser>
          <c:idx val="5"/>
          <c:order val="4"/>
          <c:tx>
            <c:v>M/N Mitte</c:v>
          </c:tx>
          <c:spPr>
            <a:ln w="19050" cap="rnd">
              <a:noFill/>
              <a:round/>
            </a:ln>
            <a:effectLst/>
          </c:spPr>
          <c:marker>
            <c:symbol val="x"/>
            <c:size val="8"/>
            <c:spPr>
              <a:noFill/>
              <a:ln w="19050">
                <a:solidFill>
                  <a:schemeClr val="accent3">
                    <a:lumMod val="75000"/>
                  </a:schemeClr>
                </a:solidFill>
              </a:ln>
              <a:effectLst/>
            </c:spPr>
          </c:marker>
          <c:xVal>
            <c:numRef>
              <c:f>'Beispiel 2'!$AC$96</c:f>
              <c:numCache>
                <c:formatCode>General</c:formatCode>
                <c:ptCount val="1"/>
                <c:pt idx="0">
                  <c:v>50.82952195606812</c:v>
                </c:pt>
              </c:numCache>
            </c:numRef>
          </c:xVal>
          <c:yVal>
            <c:numRef>
              <c:f>'Beispiel 2'!$AC$97</c:f>
              <c:numCache>
                <c:formatCode>General</c:formatCode>
                <c:ptCount val="1"/>
                <c:pt idx="0">
                  <c:v>490.31503368437501</c:v>
                </c:pt>
              </c:numCache>
            </c:numRef>
          </c:yVal>
          <c:smooth val="1"/>
          <c:extLst>
            <c:ext xmlns:c16="http://schemas.microsoft.com/office/drawing/2014/chart" uri="{C3380CC4-5D6E-409C-BE32-E72D297353CC}">
              <c16:uniqueId val="{00000004-B624-4F5C-B78D-E1A086B26C8C}"/>
            </c:ext>
          </c:extLst>
        </c:ser>
        <c:ser>
          <c:idx val="4"/>
          <c:order val="5"/>
          <c:tx>
            <c:v>M/N Fuß</c:v>
          </c:tx>
          <c:spPr>
            <a:ln w="19050" cap="rnd">
              <a:noFill/>
              <a:round/>
            </a:ln>
            <a:effectLst/>
          </c:spPr>
          <c:marker>
            <c:symbol val="plus"/>
            <c:size val="8"/>
            <c:spPr>
              <a:noFill/>
              <a:ln w="19050">
                <a:solidFill>
                  <a:schemeClr val="accent2"/>
                </a:solidFill>
              </a:ln>
              <a:effectLst/>
            </c:spPr>
          </c:marker>
          <c:xVal>
            <c:numRef>
              <c:f>'Beispiel 2'!$Y$96</c:f>
              <c:numCache>
                <c:formatCode>General</c:formatCode>
                <c:ptCount val="1"/>
                <c:pt idx="0">
                  <c:v>6.0991533252671877</c:v>
                </c:pt>
              </c:numCache>
            </c:numRef>
          </c:xVal>
          <c:yVal>
            <c:numRef>
              <c:f>'Beispiel 2'!$Y$97</c:f>
              <c:numCache>
                <c:formatCode>General</c:formatCode>
                <c:ptCount val="1"/>
                <c:pt idx="0">
                  <c:v>497.89006736875001</c:v>
                </c:pt>
              </c:numCache>
            </c:numRef>
          </c:yVal>
          <c:smooth val="1"/>
          <c:extLst>
            <c:ext xmlns:c16="http://schemas.microsoft.com/office/drawing/2014/chart" uri="{C3380CC4-5D6E-409C-BE32-E72D297353CC}">
              <c16:uniqueId val="{00000005-B624-4F5C-B78D-E1A086B26C8C}"/>
            </c:ext>
          </c:extLst>
        </c:ser>
        <c:dLbls>
          <c:showLegendKey val="0"/>
          <c:showVal val="0"/>
          <c:showCatName val="0"/>
          <c:showSerName val="0"/>
          <c:showPercent val="0"/>
          <c:showBubbleSize val="0"/>
        </c:dLbls>
        <c:axId val="467686616"/>
        <c:axId val="467687400"/>
      </c:scatterChart>
      <c:valAx>
        <c:axId val="467686616"/>
        <c:scaling>
          <c:orientation val="minMax"/>
          <c:min val="0"/>
        </c:scaling>
        <c:delete val="0"/>
        <c:axPos val="b"/>
        <c:title>
          <c:tx>
            <c:rich>
              <a:bodyPr rot="0" spcFirstLastPara="1" vertOverflow="ellipsis" vert="horz" wrap="square" anchor="ctr" anchorCtr="1"/>
              <a:lstStyle/>
              <a:p>
                <a:pPr>
                  <a:defRPr sz="1000" b="0" i="0" u="none" strike="noStrike" kern="1200" baseline="0">
                    <a:ln>
                      <a:noFill/>
                    </a:ln>
                    <a:solidFill>
                      <a:sysClr val="windowText" lastClr="000000"/>
                    </a:solidFill>
                    <a:latin typeface="+mn-lt"/>
                    <a:ea typeface="+mn-ea"/>
                    <a:cs typeface="+mn-cs"/>
                  </a:defRPr>
                </a:pPr>
                <a:r>
                  <a:rPr lang="de-AT" b="1">
                    <a:ln>
                      <a:noFill/>
                    </a:ln>
                    <a:solidFill>
                      <a:sysClr val="windowText" lastClr="000000"/>
                    </a:solidFill>
                  </a:rPr>
                  <a:t>Biegemoment [kNm/m]</a:t>
                </a:r>
              </a:p>
            </c:rich>
          </c:tx>
          <c:layout>
            <c:manualLayout>
              <c:xMode val="edge"/>
              <c:yMode val="edge"/>
              <c:x val="0.23715453004176493"/>
              <c:y val="0.9001975578278566"/>
            </c:manualLayout>
          </c:layout>
          <c:overlay val="0"/>
          <c:spPr>
            <a:noFill/>
            <a:ln>
              <a:noFill/>
            </a:ln>
            <a:effectLst/>
          </c:spPr>
          <c:txPr>
            <a:bodyPr rot="0" spcFirstLastPara="1" vertOverflow="ellipsis" vert="horz" wrap="square" anchor="ctr" anchorCtr="1"/>
            <a:lstStyle/>
            <a:p>
              <a:pPr>
                <a:defRPr sz="1000" b="0" i="0" u="none" strike="noStrike" kern="1200" baseline="0">
                  <a:ln>
                    <a:noFill/>
                  </a:ln>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7400"/>
        <c:crosses val="autoZero"/>
        <c:crossBetween val="midCat"/>
      </c:valAx>
      <c:valAx>
        <c:axId val="467687400"/>
        <c:scaling>
          <c:orientation val="minMax"/>
          <c:min val="0"/>
        </c:scaling>
        <c:delete val="0"/>
        <c:axPos val="l"/>
        <c:majorGridlines>
          <c:spPr>
            <a:ln w="9525" cap="flat" cmpd="sng" algn="ctr">
              <a:solidFill>
                <a:schemeClr val="tx1">
                  <a:lumMod val="50000"/>
                  <a:lumOff val="50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de-AT" b="1">
                    <a:solidFill>
                      <a:sysClr val="windowText" lastClr="000000"/>
                    </a:solidFill>
                  </a:rPr>
                  <a:t>Normalkraft [kN/m]</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6616"/>
        <c:crosses val="autoZero"/>
        <c:crossBetween val="midCat"/>
      </c:valAx>
      <c:spPr>
        <a:noFill/>
        <a:ln>
          <a:noFill/>
        </a:ln>
        <a:effectLst/>
      </c:spPr>
    </c:plotArea>
    <c:legend>
      <c:legendPos val="r"/>
      <c:layout>
        <c:manualLayout>
          <c:xMode val="edge"/>
          <c:yMode val="edge"/>
          <c:x val="0.77345070359045776"/>
          <c:y val="2.5939682068043389E-2"/>
          <c:w val="0.21361413380805722"/>
          <c:h val="0.9363244688753528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374567901234571"/>
        </c:manualLayout>
      </c:layout>
      <c:scatterChart>
        <c:scatterStyle val="lineMarker"/>
        <c:varyColors val="0"/>
        <c:ser>
          <c:idx val="0"/>
          <c:order val="0"/>
          <c:tx>
            <c:strRef>
              <c:f>'Beispiel 2'!$T$31</c:f>
              <c:strCache>
                <c:ptCount val="1"/>
                <c:pt idx="0">
                  <c:v>Wand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1C2D-4478-92A9-26E65E0E57E0}"/>
                </c:ext>
              </c:extLst>
            </c:dLbl>
            <c:dLbl>
              <c:idx val="1"/>
              <c:delete val="1"/>
              <c:extLst>
                <c:ext xmlns:c15="http://schemas.microsoft.com/office/drawing/2012/chart" uri="{CE6537A1-D6FC-4f65-9D91-7224C49458BB}"/>
                <c:ext xmlns:c16="http://schemas.microsoft.com/office/drawing/2014/chart" uri="{C3380CC4-5D6E-409C-BE32-E72D297353CC}">
                  <c16:uniqueId val="{00000001-1C2D-4478-92A9-26E65E0E57E0}"/>
                </c:ext>
              </c:extLst>
            </c:dLbl>
            <c:dLbl>
              <c:idx val="2"/>
              <c:delete val="1"/>
              <c:extLst>
                <c:ext xmlns:c15="http://schemas.microsoft.com/office/drawing/2012/chart" uri="{CE6537A1-D6FC-4f65-9D91-7224C49458BB}"/>
                <c:ext xmlns:c16="http://schemas.microsoft.com/office/drawing/2014/chart" uri="{C3380CC4-5D6E-409C-BE32-E72D297353CC}">
                  <c16:uniqueId val="{00000002-1C2D-4478-92A9-26E65E0E57E0}"/>
                </c:ext>
              </c:extLst>
            </c:dLbl>
            <c:dLbl>
              <c:idx val="3"/>
              <c:delete val="1"/>
              <c:extLst>
                <c:ext xmlns:c15="http://schemas.microsoft.com/office/drawing/2012/chart" uri="{CE6537A1-D6FC-4f65-9D91-7224C49458BB}"/>
                <c:ext xmlns:c16="http://schemas.microsoft.com/office/drawing/2014/chart" uri="{C3380CC4-5D6E-409C-BE32-E72D297353CC}">
                  <c16:uniqueId val="{00000003-1C2D-4478-92A9-26E65E0E57E0}"/>
                </c:ext>
              </c:extLst>
            </c:dLbl>
            <c:dLbl>
              <c:idx val="4"/>
              <c:delete val="1"/>
              <c:extLst>
                <c:ext xmlns:c15="http://schemas.microsoft.com/office/drawing/2012/chart" uri="{CE6537A1-D6FC-4f65-9D91-7224C49458BB}"/>
                <c:ext xmlns:c16="http://schemas.microsoft.com/office/drawing/2014/chart" uri="{C3380CC4-5D6E-409C-BE32-E72D297353CC}">
                  <c16:uniqueId val="{00000004-1C2D-4478-92A9-26E65E0E57E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2'!$AE$31:$AJ$31</c:f>
              <c:numCache>
                <c:formatCode>General</c:formatCode>
                <c:ptCount val="6"/>
                <c:pt idx="0">
                  <c:v>1.6</c:v>
                </c:pt>
                <c:pt idx="1">
                  <c:v>1.6</c:v>
                </c:pt>
                <c:pt idx="2">
                  <c:v>-1.6</c:v>
                </c:pt>
                <c:pt idx="3">
                  <c:v>-1.6</c:v>
                </c:pt>
                <c:pt idx="4">
                  <c:v>1.6</c:v>
                </c:pt>
                <c:pt idx="5">
                  <c:v>1.6</c:v>
                </c:pt>
              </c:numCache>
            </c:numRef>
          </c:xVal>
          <c:yVal>
            <c:numRef>
              <c:f>'Beispiel 2'!$V$32:$AA$32</c:f>
              <c:numCache>
                <c:formatCode>General</c:formatCode>
                <c:ptCount val="6"/>
                <c:pt idx="0">
                  <c:v>0</c:v>
                </c:pt>
                <c:pt idx="1">
                  <c:v>2.5</c:v>
                </c:pt>
                <c:pt idx="2">
                  <c:v>2.5</c:v>
                </c:pt>
                <c:pt idx="3">
                  <c:v>0</c:v>
                </c:pt>
                <c:pt idx="4">
                  <c:v>0</c:v>
                </c:pt>
                <c:pt idx="5">
                  <c:v>1.25</c:v>
                </c:pt>
              </c:numCache>
            </c:numRef>
          </c:yVal>
          <c:smooth val="0"/>
          <c:extLst>
            <c:ext xmlns:c16="http://schemas.microsoft.com/office/drawing/2014/chart" uri="{C3380CC4-5D6E-409C-BE32-E72D297353CC}">
              <c16:uniqueId val="{00000005-1C2D-4478-92A9-26E65E0E57E0}"/>
            </c:ext>
          </c:extLst>
        </c:ser>
        <c:ser>
          <c:idx val="1"/>
          <c:order val="1"/>
          <c:tx>
            <c:strRef>
              <c:f>'Beispiel 2'!$T$33</c:f>
              <c:strCache>
                <c:ptCount val="1"/>
                <c:pt idx="0">
                  <c:v>Wand 2</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1C2D-4478-92A9-26E65E0E57E0}"/>
                </c:ext>
              </c:extLst>
            </c:dLbl>
            <c:dLbl>
              <c:idx val="1"/>
              <c:delete val="1"/>
              <c:extLst>
                <c:ext xmlns:c15="http://schemas.microsoft.com/office/drawing/2012/chart" uri="{CE6537A1-D6FC-4f65-9D91-7224C49458BB}"/>
                <c:ext xmlns:c16="http://schemas.microsoft.com/office/drawing/2014/chart" uri="{C3380CC4-5D6E-409C-BE32-E72D297353CC}">
                  <c16:uniqueId val="{00000007-1C2D-4478-92A9-26E65E0E57E0}"/>
                </c:ext>
              </c:extLst>
            </c:dLbl>
            <c:dLbl>
              <c:idx val="2"/>
              <c:delete val="1"/>
              <c:extLst>
                <c:ext xmlns:c15="http://schemas.microsoft.com/office/drawing/2012/chart" uri="{CE6537A1-D6FC-4f65-9D91-7224C49458BB}"/>
                <c:ext xmlns:c16="http://schemas.microsoft.com/office/drawing/2014/chart" uri="{C3380CC4-5D6E-409C-BE32-E72D297353CC}">
                  <c16:uniqueId val="{00000008-1C2D-4478-92A9-26E65E0E57E0}"/>
                </c:ext>
              </c:extLst>
            </c:dLbl>
            <c:dLbl>
              <c:idx val="3"/>
              <c:delete val="1"/>
              <c:extLst>
                <c:ext xmlns:c15="http://schemas.microsoft.com/office/drawing/2012/chart" uri="{CE6537A1-D6FC-4f65-9D91-7224C49458BB}"/>
                <c:ext xmlns:c16="http://schemas.microsoft.com/office/drawing/2014/chart" uri="{C3380CC4-5D6E-409C-BE32-E72D297353CC}">
                  <c16:uniqueId val="{00000009-1C2D-4478-92A9-26E65E0E57E0}"/>
                </c:ext>
              </c:extLst>
            </c:dLbl>
            <c:dLbl>
              <c:idx val="4"/>
              <c:delete val="1"/>
              <c:extLst>
                <c:ext xmlns:c15="http://schemas.microsoft.com/office/drawing/2012/chart" uri="{CE6537A1-D6FC-4f65-9D91-7224C49458BB}"/>
                <c:ext xmlns:c16="http://schemas.microsoft.com/office/drawing/2014/chart" uri="{C3380CC4-5D6E-409C-BE32-E72D297353CC}">
                  <c16:uniqueId val="{0000000A-1C2D-4478-92A9-26E65E0E57E0}"/>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2'!$AE$33:$AJ$33</c:f>
              <c:numCache>
                <c:formatCode>General</c:formatCode>
                <c:ptCount val="6"/>
                <c:pt idx="0">
                  <c:v>1</c:v>
                </c:pt>
                <c:pt idx="1">
                  <c:v>1</c:v>
                </c:pt>
                <c:pt idx="2">
                  <c:v>-1</c:v>
                </c:pt>
                <c:pt idx="3">
                  <c:v>-1</c:v>
                </c:pt>
                <c:pt idx="4">
                  <c:v>1</c:v>
                </c:pt>
                <c:pt idx="5">
                  <c:v>1</c:v>
                </c:pt>
              </c:numCache>
            </c:numRef>
          </c:xVal>
          <c:yVal>
            <c:numRef>
              <c:f>'Beispiel 2'!$V$34:$AA$34</c:f>
              <c:numCache>
                <c:formatCode>General</c:formatCode>
                <c:ptCount val="6"/>
                <c:pt idx="0">
                  <c:v>2.7</c:v>
                </c:pt>
                <c:pt idx="1">
                  <c:v>5.3450000000000006</c:v>
                </c:pt>
                <c:pt idx="2">
                  <c:v>5.3450000000000006</c:v>
                </c:pt>
                <c:pt idx="3">
                  <c:v>2.7</c:v>
                </c:pt>
                <c:pt idx="4">
                  <c:v>2.7</c:v>
                </c:pt>
                <c:pt idx="5">
                  <c:v>4.0225</c:v>
                </c:pt>
              </c:numCache>
            </c:numRef>
          </c:yVal>
          <c:smooth val="0"/>
          <c:extLst>
            <c:ext xmlns:c16="http://schemas.microsoft.com/office/drawing/2014/chart" uri="{C3380CC4-5D6E-409C-BE32-E72D297353CC}">
              <c16:uniqueId val="{0000000B-1C2D-4478-92A9-26E65E0E57E0}"/>
            </c:ext>
          </c:extLst>
        </c:ser>
        <c:ser>
          <c:idx val="2"/>
          <c:order val="2"/>
          <c:tx>
            <c:strRef>
              <c:f>'Beispiel 2'!$T$35</c:f>
              <c:strCache>
                <c:ptCount val="1"/>
                <c:pt idx="0">
                  <c:v>Wand 3</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1C2D-4478-92A9-26E65E0E57E0}"/>
                </c:ext>
              </c:extLst>
            </c:dLbl>
            <c:dLbl>
              <c:idx val="1"/>
              <c:delete val="1"/>
              <c:extLst>
                <c:ext xmlns:c15="http://schemas.microsoft.com/office/drawing/2012/chart" uri="{CE6537A1-D6FC-4f65-9D91-7224C49458BB}"/>
                <c:ext xmlns:c16="http://schemas.microsoft.com/office/drawing/2014/chart" uri="{C3380CC4-5D6E-409C-BE32-E72D297353CC}">
                  <c16:uniqueId val="{0000000D-1C2D-4478-92A9-26E65E0E57E0}"/>
                </c:ext>
              </c:extLst>
            </c:dLbl>
            <c:dLbl>
              <c:idx val="2"/>
              <c:delete val="1"/>
              <c:extLst>
                <c:ext xmlns:c15="http://schemas.microsoft.com/office/drawing/2012/chart" uri="{CE6537A1-D6FC-4f65-9D91-7224C49458BB}"/>
                <c:ext xmlns:c16="http://schemas.microsoft.com/office/drawing/2014/chart" uri="{C3380CC4-5D6E-409C-BE32-E72D297353CC}">
                  <c16:uniqueId val="{0000000E-1C2D-4478-92A9-26E65E0E57E0}"/>
                </c:ext>
              </c:extLst>
            </c:dLbl>
            <c:dLbl>
              <c:idx val="3"/>
              <c:delete val="1"/>
              <c:extLst>
                <c:ext xmlns:c15="http://schemas.microsoft.com/office/drawing/2012/chart" uri="{CE6537A1-D6FC-4f65-9D91-7224C49458BB}"/>
                <c:ext xmlns:c16="http://schemas.microsoft.com/office/drawing/2014/chart" uri="{C3380CC4-5D6E-409C-BE32-E72D297353CC}">
                  <c16:uniqueId val="{0000000F-1C2D-4478-92A9-26E65E0E57E0}"/>
                </c:ext>
              </c:extLst>
            </c:dLbl>
            <c:dLbl>
              <c:idx val="4"/>
              <c:delete val="1"/>
              <c:extLst>
                <c:ext xmlns:c15="http://schemas.microsoft.com/office/drawing/2012/chart" uri="{CE6537A1-D6FC-4f65-9D91-7224C49458BB}"/>
                <c:ext xmlns:c16="http://schemas.microsoft.com/office/drawing/2014/chart" uri="{C3380CC4-5D6E-409C-BE32-E72D297353CC}">
                  <c16:uniqueId val="{00000010-1C2D-4478-92A9-26E65E0E57E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2'!$AE$35:$AJ$35</c:f>
              <c:numCache>
                <c:formatCode>General</c:formatCode>
                <c:ptCount val="6"/>
                <c:pt idx="0">
                  <c:v>1</c:v>
                </c:pt>
                <c:pt idx="1">
                  <c:v>1</c:v>
                </c:pt>
                <c:pt idx="2">
                  <c:v>-1</c:v>
                </c:pt>
                <c:pt idx="3">
                  <c:v>-1</c:v>
                </c:pt>
                <c:pt idx="4">
                  <c:v>1</c:v>
                </c:pt>
                <c:pt idx="5">
                  <c:v>1</c:v>
                </c:pt>
              </c:numCache>
            </c:numRef>
          </c:xVal>
          <c:yVal>
            <c:numRef>
              <c:f>'Beispiel 2'!$V$36:$AA$36</c:f>
              <c:numCache>
                <c:formatCode>General</c:formatCode>
                <c:ptCount val="6"/>
                <c:pt idx="0">
                  <c:v>5.5450000000000008</c:v>
                </c:pt>
                <c:pt idx="1">
                  <c:v>8.1900000000000013</c:v>
                </c:pt>
                <c:pt idx="2">
                  <c:v>8.1900000000000013</c:v>
                </c:pt>
                <c:pt idx="3">
                  <c:v>5.5450000000000008</c:v>
                </c:pt>
                <c:pt idx="4">
                  <c:v>5.5450000000000008</c:v>
                </c:pt>
                <c:pt idx="5">
                  <c:v>6.8675000000000006</c:v>
                </c:pt>
              </c:numCache>
            </c:numRef>
          </c:yVal>
          <c:smooth val="0"/>
          <c:extLst>
            <c:ext xmlns:c16="http://schemas.microsoft.com/office/drawing/2014/chart" uri="{C3380CC4-5D6E-409C-BE32-E72D297353CC}">
              <c16:uniqueId val="{00000011-1C2D-4478-92A9-26E65E0E57E0}"/>
            </c:ext>
          </c:extLst>
        </c:ser>
        <c:ser>
          <c:idx val="3"/>
          <c:order val="3"/>
          <c:tx>
            <c:strRef>
              <c:f>'Beispiel 2'!$T$38</c:f>
              <c:strCache>
                <c:ptCount val="1"/>
                <c:pt idx="0">
                  <c:v>Decke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2-1C2D-4478-92A9-26E65E0E57E0}"/>
                </c:ext>
              </c:extLst>
            </c:dLbl>
            <c:dLbl>
              <c:idx val="1"/>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1C2D-4478-92A9-26E65E0E57E0}"/>
                </c:ext>
              </c:extLst>
            </c:dLbl>
            <c:dLbl>
              <c:idx val="2"/>
              <c:delete val="1"/>
              <c:extLst>
                <c:ext xmlns:c15="http://schemas.microsoft.com/office/drawing/2012/chart" uri="{CE6537A1-D6FC-4f65-9D91-7224C49458BB}"/>
                <c:ext xmlns:c16="http://schemas.microsoft.com/office/drawing/2014/chart" uri="{C3380CC4-5D6E-409C-BE32-E72D297353CC}">
                  <c16:uniqueId val="{00000014-1C2D-4478-92A9-26E65E0E57E0}"/>
                </c:ext>
              </c:extLst>
            </c:dLbl>
            <c:dLbl>
              <c:idx val="3"/>
              <c:delete val="1"/>
              <c:extLst>
                <c:ext xmlns:c15="http://schemas.microsoft.com/office/drawing/2012/chart" uri="{CE6537A1-D6FC-4f65-9D91-7224C49458BB}"/>
                <c:ext xmlns:c16="http://schemas.microsoft.com/office/drawing/2014/chart" uri="{C3380CC4-5D6E-409C-BE32-E72D297353CC}">
                  <c16:uniqueId val="{00000015-1C2D-4478-92A9-26E65E0E57E0}"/>
                </c:ext>
              </c:extLst>
            </c:dLbl>
            <c:dLbl>
              <c:idx val="4"/>
              <c:delete val="1"/>
              <c:extLst>
                <c:ext xmlns:c15="http://schemas.microsoft.com/office/drawing/2012/chart" uri="{CE6537A1-D6FC-4f65-9D91-7224C49458BB}"/>
                <c:ext xmlns:c16="http://schemas.microsoft.com/office/drawing/2014/chart" uri="{C3380CC4-5D6E-409C-BE32-E72D297353CC}">
                  <c16:uniqueId val="{00000016-1C2D-4478-92A9-26E65E0E57E0}"/>
                </c:ext>
              </c:extLst>
            </c:dLbl>
            <c:dLbl>
              <c:idx val="5"/>
              <c:delete val="1"/>
              <c:extLst>
                <c:ext xmlns:c15="http://schemas.microsoft.com/office/drawing/2012/chart" uri="{CE6537A1-D6FC-4f65-9D91-7224C49458BB}"/>
                <c:ext xmlns:c16="http://schemas.microsoft.com/office/drawing/2014/chart" uri="{C3380CC4-5D6E-409C-BE32-E72D297353CC}">
                  <c16:uniqueId val="{00000017-1C2D-4478-92A9-26E65E0E57E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2'!$AE$38:$AJ$38</c:f>
              <c:numCache>
                <c:formatCode>General</c:formatCode>
                <c:ptCount val="6"/>
                <c:pt idx="0">
                  <c:v>-1.6</c:v>
                </c:pt>
                <c:pt idx="1">
                  <c:v>1.6</c:v>
                </c:pt>
                <c:pt idx="2">
                  <c:v>1.6</c:v>
                </c:pt>
                <c:pt idx="3">
                  <c:v>-1.6</c:v>
                </c:pt>
                <c:pt idx="4">
                  <c:v>-1.6</c:v>
                </c:pt>
                <c:pt idx="5">
                  <c:v>0.8</c:v>
                </c:pt>
              </c:numCache>
            </c:numRef>
          </c:xVal>
          <c:yVal>
            <c:numRef>
              <c:f>'Beispiel 2'!$AE$39:$AJ$39</c:f>
              <c:numCache>
                <c:formatCode>General</c:formatCode>
                <c:ptCount val="6"/>
                <c:pt idx="0">
                  <c:v>2.5</c:v>
                </c:pt>
                <c:pt idx="1">
                  <c:v>2.5</c:v>
                </c:pt>
                <c:pt idx="2">
                  <c:v>2.7</c:v>
                </c:pt>
                <c:pt idx="3">
                  <c:v>2.7</c:v>
                </c:pt>
                <c:pt idx="4">
                  <c:v>2.5</c:v>
                </c:pt>
                <c:pt idx="5">
                  <c:v>2.5</c:v>
                </c:pt>
              </c:numCache>
            </c:numRef>
          </c:yVal>
          <c:smooth val="0"/>
          <c:extLst>
            <c:ext xmlns:c16="http://schemas.microsoft.com/office/drawing/2014/chart" uri="{C3380CC4-5D6E-409C-BE32-E72D297353CC}">
              <c16:uniqueId val="{00000018-1C2D-4478-92A9-26E65E0E57E0}"/>
            </c:ext>
          </c:extLst>
        </c:ser>
        <c:ser>
          <c:idx val="4"/>
          <c:order val="4"/>
          <c:tx>
            <c:strRef>
              <c:f>'Beispiel 2'!$T$40</c:f>
              <c:strCache>
                <c:ptCount val="1"/>
                <c:pt idx="0">
                  <c:v>Decke 2</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9-1C2D-4478-92A9-26E65E0E57E0}"/>
                </c:ext>
              </c:extLst>
            </c:dLbl>
            <c:dLbl>
              <c:idx val="1"/>
              <c:delete val="1"/>
              <c:extLst>
                <c:ext xmlns:c15="http://schemas.microsoft.com/office/drawing/2012/chart" uri="{CE6537A1-D6FC-4f65-9D91-7224C49458BB}"/>
                <c:ext xmlns:c16="http://schemas.microsoft.com/office/drawing/2014/chart" uri="{C3380CC4-5D6E-409C-BE32-E72D297353CC}">
                  <c16:uniqueId val="{0000001A-1C2D-4478-92A9-26E65E0E57E0}"/>
                </c:ext>
              </c:extLst>
            </c:dLbl>
            <c:dLbl>
              <c:idx val="2"/>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1C2D-4478-92A9-26E65E0E57E0}"/>
                </c:ext>
              </c:extLst>
            </c:dLbl>
            <c:dLbl>
              <c:idx val="3"/>
              <c:delete val="1"/>
              <c:extLst>
                <c:ext xmlns:c15="http://schemas.microsoft.com/office/drawing/2012/chart" uri="{CE6537A1-D6FC-4f65-9D91-7224C49458BB}"/>
                <c:ext xmlns:c16="http://schemas.microsoft.com/office/drawing/2014/chart" uri="{C3380CC4-5D6E-409C-BE32-E72D297353CC}">
                  <c16:uniqueId val="{0000001C-1C2D-4478-92A9-26E65E0E57E0}"/>
                </c:ext>
              </c:extLst>
            </c:dLbl>
            <c:dLbl>
              <c:idx val="4"/>
              <c:delete val="1"/>
              <c:extLst>
                <c:ext xmlns:c15="http://schemas.microsoft.com/office/drawing/2012/chart" uri="{CE6537A1-D6FC-4f65-9D91-7224C49458BB}"/>
                <c:ext xmlns:c16="http://schemas.microsoft.com/office/drawing/2014/chart" uri="{C3380CC4-5D6E-409C-BE32-E72D297353CC}">
                  <c16:uniqueId val="{0000001D-1C2D-4478-92A9-26E65E0E57E0}"/>
                </c:ext>
              </c:extLst>
            </c:dLbl>
            <c:dLbl>
              <c:idx val="5"/>
              <c:delete val="1"/>
              <c:extLst>
                <c:ext xmlns:c15="http://schemas.microsoft.com/office/drawing/2012/chart" uri="{CE6537A1-D6FC-4f65-9D91-7224C49458BB}"/>
                <c:ext xmlns:c16="http://schemas.microsoft.com/office/drawing/2014/chart" uri="{C3380CC4-5D6E-409C-BE32-E72D297353CC}">
                  <c16:uniqueId val="{0000001E-1C2D-4478-92A9-26E65E0E57E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2'!$AE$40:$AJ$40</c:f>
              <c:numCache>
                <c:formatCode>General</c:formatCode>
                <c:ptCount val="6"/>
                <c:pt idx="0">
                  <c:v>-1.6</c:v>
                </c:pt>
                <c:pt idx="1">
                  <c:v>1.6</c:v>
                </c:pt>
                <c:pt idx="2">
                  <c:v>1.6</c:v>
                </c:pt>
                <c:pt idx="3">
                  <c:v>-1.6</c:v>
                </c:pt>
                <c:pt idx="4">
                  <c:v>-1.6</c:v>
                </c:pt>
                <c:pt idx="5">
                  <c:v>0.5</c:v>
                </c:pt>
              </c:numCache>
            </c:numRef>
          </c:xVal>
          <c:yVal>
            <c:numRef>
              <c:f>'Beispiel 2'!$AE$41:$AJ$41</c:f>
              <c:numCache>
                <c:formatCode>General</c:formatCode>
                <c:ptCount val="6"/>
                <c:pt idx="0">
                  <c:v>5.3450000000000006</c:v>
                </c:pt>
                <c:pt idx="1">
                  <c:v>5.3450000000000006</c:v>
                </c:pt>
                <c:pt idx="2">
                  <c:v>5.5450000000000008</c:v>
                </c:pt>
                <c:pt idx="3">
                  <c:v>5.5450000000000008</c:v>
                </c:pt>
                <c:pt idx="4">
                  <c:v>5.3450000000000006</c:v>
                </c:pt>
                <c:pt idx="5">
                  <c:v>5.3450000000000006</c:v>
                </c:pt>
              </c:numCache>
            </c:numRef>
          </c:yVal>
          <c:smooth val="0"/>
          <c:extLst>
            <c:ext xmlns:c16="http://schemas.microsoft.com/office/drawing/2014/chart" uri="{C3380CC4-5D6E-409C-BE32-E72D297353CC}">
              <c16:uniqueId val="{0000001F-1C2D-4478-92A9-26E65E0E57E0}"/>
            </c:ext>
          </c:extLst>
        </c:ser>
        <c:ser>
          <c:idx val="11"/>
          <c:order val="5"/>
          <c:tx>
            <c:strRef>
              <c:f>'Beispiel 2'!$T$46</c:f>
              <c:strCache>
                <c:ptCount val="1"/>
                <c:pt idx="0">
                  <c:v>Outline</c:v>
                </c:pt>
              </c:strCache>
            </c:strRef>
          </c:tx>
          <c:spPr>
            <a:ln w="19050" cap="rnd">
              <a:noFill/>
              <a:round/>
            </a:ln>
            <a:effectLst/>
          </c:spPr>
          <c:marker>
            <c:symbol val="none"/>
          </c:marker>
          <c:dLbls>
            <c:delete val="1"/>
          </c:dLbls>
          <c:xVal>
            <c:numRef>
              <c:f>'Beispiel 2'!$AE$46:$AF$46</c:f>
              <c:numCache>
                <c:formatCode>General</c:formatCode>
                <c:ptCount val="2"/>
                <c:pt idx="0">
                  <c:v>9.0090000000000021</c:v>
                </c:pt>
                <c:pt idx="1">
                  <c:v>-9.0090000000000021</c:v>
                </c:pt>
              </c:numCache>
            </c:numRef>
          </c:xVal>
          <c:yVal>
            <c:numRef>
              <c:f>'Beispiel 2'!$AE$47:$AF$47</c:f>
              <c:numCache>
                <c:formatCode>General</c:formatCode>
                <c:ptCount val="2"/>
                <c:pt idx="0">
                  <c:v>9.0090000000000021</c:v>
                </c:pt>
                <c:pt idx="1">
                  <c:v>9.0090000000000021</c:v>
                </c:pt>
              </c:numCache>
            </c:numRef>
          </c:yVal>
          <c:smooth val="0"/>
          <c:extLst>
            <c:ext xmlns:c16="http://schemas.microsoft.com/office/drawing/2014/chart" uri="{C3380CC4-5D6E-409C-BE32-E72D297353CC}">
              <c16:uniqueId val="{00000020-1C2D-4478-92A9-26E65E0E57E0}"/>
            </c:ext>
          </c:extLst>
        </c:ser>
        <c:ser>
          <c:idx val="5"/>
          <c:order val="6"/>
          <c:tx>
            <c:strRef>
              <c:f>'Beispiel 2'!$AD$50</c:f>
              <c:strCache>
                <c:ptCount val="1"/>
                <c:pt idx="0">
                  <c:v>Fixed edges</c:v>
                </c:pt>
              </c:strCache>
            </c:strRef>
          </c:tx>
          <c:spPr>
            <a:ln w="34925" cap="rnd">
              <a:solidFill>
                <a:srgbClr val="C00000"/>
              </a:solidFill>
              <a:prstDash val="sysDash"/>
              <a:round/>
            </a:ln>
            <a:effectLst/>
          </c:spPr>
          <c:marker>
            <c:symbol val="none"/>
          </c:marker>
          <c:dLbls>
            <c:delete val="1"/>
          </c:dLbls>
          <c:xVal>
            <c:numRef>
              <c:f>'Beispiel 2'!$AE$51:$AF$51</c:f>
              <c:numCache>
                <c:formatCode>General</c:formatCode>
                <c:ptCount val="2"/>
                <c:pt idx="0">
                  <c:v>0</c:v>
                </c:pt>
                <c:pt idx="1">
                  <c:v>0</c:v>
                </c:pt>
              </c:numCache>
            </c:numRef>
          </c:xVal>
          <c:yVal>
            <c:numRef>
              <c:f>'Beispiel 2'!$AE$52:$AF$52</c:f>
              <c:numCache>
                <c:formatCode>General</c:formatCode>
                <c:ptCount val="2"/>
                <c:pt idx="0">
                  <c:v>0</c:v>
                </c:pt>
                <c:pt idx="1">
                  <c:v>0</c:v>
                </c:pt>
              </c:numCache>
            </c:numRef>
          </c:yVal>
          <c:smooth val="0"/>
          <c:extLst>
            <c:ext xmlns:c16="http://schemas.microsoft.com/office/drawing/2014/chart" uri="{C3380CC4-5D6E-409C-BE32-E72D297353CC}">
              <c16:uniqueId val="{00000021-1C2D-4478-92A9-26E65E0E57E0}"/>
            </c:ext>
          </c:extLst>
        </c:ser>
        <c:ser>
          <c:idx val="6"/>
          <c:order val="7"/>
          <c:tx>
            <c:strRef>
              <c:f>'Beispiel 2'!$AD$50</c:f>
              <c:strCache>
                <c:ptCount val="1"/>
                <c:pt idx="0">
                  <c:v>Fixed edges</c:v>
                </c:pt>
              </c:strCache>
            </c:strRef>
          </c:tx>
          <c:spPr>
            <a:ln w="34925" cap="rnd">
              <a:solidFill>
                <a:srgbClr val="C00000"/>
              </a:solidFill>
              <a:prstDash val="sysDash"/>
              <a:round/>
            </a:ln>
            <a:effectLst/>
          </c:spPr>
          <c:marker>
            <c:symbol val="none"/>
          </c:marker>
          <c:dLbls>
            <c:delete val="1"/>
          </c:dLbls>
          <c:xVal>
            <c:numRef>
              <c:f>'Beispiel 2'!$AE$53:$AF$53</c:f>
              <c:numCache>
                <c:formatCode>General</c:formatCode>
                <c:ptCount val="2"/>
                <c:pt idx="0">
                  <c:v>0</c:v>
                </c:pt>
                <c:pt idx="1">
                  <c:v>0</c:v>
                </c:pt>
              </c:numCache>
            </c:numRef>
          </c:xVal>
          <c:yVal>
            <c:numRef>
              <c:f>'Beispiel 2'!$AE$54:$AF$54</c:f>
              <c:numCache>
                <c:formatCode>General</c:formatCode>
                <c:ptCount val="2"/>
                <c:pt idx="0">
                  <c:v>0</c:v>
                </c:pt>
                <c:pt idx="1">
                  <c:v>0</c:v>
                </c:pt>
              </c:numCache>
            </c:numRef>
          </c:yVal>
          <c:smooth val="0"/>
          <c:extLst>
            <c:ext xmlns:c16="http://schemas.microsoft.com/office/drawing/2014/chart" uri="{C3380CC4-5D6E-409C-BE32-E72D297353CC}">
              <c16:uniqueId val="{00000022-1C2D-4478-92A9-26E65E0E57E0}"/>
            </c:ext>
          </c:extLst>
        </c:ser>
        <c:dLbls>
          <c:showLegendKey val="0"/>
          <c:showVal val="1"/>
          <c:showCatName val="0"/>
          <c:showSerName val="0"/>
          <c:showPercent val="0"/>
          <c:showBubbleSize val="0"/>
        </c:dLbls>
        <c:axId val="471502576"/>
        <c:axId val="471506104"/>
      </c:scatterChart>
      <c:valAx>
        <c:axId val="471502576"/>
        <c:scaling>
          <c:orientation val="minMax"/>
        </c:scaling>
        <c:delete val="0"/>
        <c:axPos val="b"/>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6104"/>
        <c:crosses val="autoZero"/>
        <c:crossBetween val="midCat"/>
        <c:majorUnit val="2"/>
      </c:valAx>
      <c:valAx>
        <c:axId val="471506104"/>
        <c:scaling>
          <c:orientation val="minMax"/>
          <c:min val="0"/>
        </c:scaling>
        <c:delete val="0"/>
        <c:axPos val="l"/>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2576"/>
        <c:crosses val="autoZero"/>
        <c:crossBetween val="midCat"/>
        <c:majorUnit val="2"/>
      </c:valAx>
      <c:spPr>
        <a:noFill/>
        <a:ln w="25400">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645138888888887E-2"/>
          <c:y val="4.8506944444444443E-2"/>
          <c:w val="0.87078402777777775"/>
          <c:h val="0.77683159722222206"/>
        </c:manualLayout>
      </c:layout>
      <c:scatterChart>
        <c:scatterStyle val="lineMarker"/>
        <c:varyColors val="0"/>
        <c:ser>
          <c:idx val="1"/>
          <c:order val="0"/>
          <c:tx>
            <c:strRef>
              <c:f>'Beispiel 2'!$X$80</c:f>
              <c:strCache>
                <c:ptCount val="1"/>
                <c:pt idx="0">
                  <c:v>Outline</c:v>
                </c:pt>
              </c:strCache>
            </c:strRef>
          </c:tx>
          <c:spPr>
            <a:ln w="25400" cap="rnd">
              <a:noFill/>
              <a:round/>
            </a:ln>
            <a:effectLst/>
          </c:spPr>
          <c:marker>
            <c:symbol val="none"/>
          </c:marker>
          <c:xVal>
            <c:numRef>
              <c:f>'Beispiel 2'!$Z$80:$AA$80</c:f>
              <c:numCache>
                <c:formatCode>0.00</c:formatCode>
                <c:ptCount val="2"/>
                <c:pt idx="0">
                  <c:v>0.77236115999999999</c:v>
                </c:pt>
                <c:pt idx="1">
                  <c:v>-0.77236115999999999</c:v>
                </c:pt>
              </c:numCache>
            </c:numRef>
          </c:xVal>
          <c:yVal>
            <c:numRef>
              <c:f>'Beispiel 2'!$Z$81:$AA$81</c:f>
              <c:numCache>
                <c:formatCode>0.00</c:formatCode>
                <c:ptCount val="2"/>
                <c:pt idx="0">
                  <c:v>2.645</c:v>
                </c:pt>
                <c:pt idx="1">
                  <c:v>2.645</c:v>
                </c:pt>
              </c:numCache>
            </c:numRef>
          </c:yVal>
          <c:smooth val="0"/>
          <c:extLst>
            <c:ext xmlns:c16="http://schemas.microsoft.com/office/drawing/2014/chart" uri="{C3380CC4-5D6E-409C-BE32-E72D297353CC}">
              <c16:uniqueId val="{00000000-A57D-489E-9C72-1B491F149C0F}"/>
            </c:ext>
          </c:extLst>
        </c:ser>
        <c:ser>
          <c:idx val="2"/>
          <c:order val="1"/>
          <c:tx>
            <c:strRef>
              <c:f>'Beispiel 2'!$T$70</c:f>
              <c:strCache>
                <c:ptCount val="1"/>
                <c:pt idx="0">
                  <c:v>Wall</c:v>
                </c:pt>
              </c:strCache>
            </c:strRef>
          </c:tx>
          <c:spPr>
            <a:ln w="19050" cap="rnd">
              <a:solidFill>
                <a:sysClr val="windowText" lastClr="000000"/>
              </a:solidFill>
              <a:round/>
            </a:ln>
            <a:effectLst/>
          </c:spPr>
          <c:marker>
            <c:symbol val="none"/>
          </c:marker>
          <c:xVal>
            <c:numRef>
              <c:f>'Beispiel 2'!$V$70:$W$70</c:f>
              <c:numCache>
                <c:formatCode>0.00</c:formatCode>
                <c:ptCount val="2"/>
                <c:pt idx="0">
                  <c:v>0</c:v>
                </c:pt>
                <c:pt idx="1">
                  <c:v>0</c:v>
                </c:pt>
              </c:numCache>
            </c:numRef>
          </c:xVal>
          <c:yVal>
            <c:numRef>
              <c:f>'Beispiel 2'!$V$71:$W$71</c:f>
              <c:numCache>
                <c:formatCode>0.00</c:formatCode>
                <c:ptCount val="2"/>
                <c:pt idx="0">
                  <c:v>0</c:v>
                </c:pt>
                <c:pt idx="1">
                  <c:v>2.645</c:v>
                </c:pt>
              </c:numCache>
            </c:numRef>
          </c:yVal>
          <c:smooth val="0"/>
          <c:extLst>
            <c:ext xmlns:c16="http://schemas.microsoft.com/office/drawing/2014/chart" uri="{C3380CC4-5D6E-409C-BE32-E72D297353CC}">
              <c16:uniqueId val="{00000001-A57D-489E-9C72-1B491F149C0F}"/>
            </c:ext>
          </c:extLst>
        </c:ser>
        <c:ser>
          <c:idx val="0"/>
          <c:order val="2"/>
          <c:tx>
            <c:strRef>
              <c:f>'Beispiel 2'!$T$63</c:f>
              <c:strCache>
                <c:ptCount val="1"/>
                <c:pt idx="0">
                  <c:v>Slab rotation</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2-A57D-489E-9C72-1B491F149C0F}"/>
                </c:ext>
              </c:extLst>
            </c:dLbl>
            <c:dLbl>
              <c:idx val="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extLst>
                <c:ext xmlns:c16="http://schemas.microsoft.com/office/drawing/2014/chart" uri="{C3380CC4-5D6E-409C-BE32-E72D297353CC}">
                  <c16:uniqueId val="{00000003-A57D-489E-9C72-1B491F149C0F}"/>
                </c:ext>
              </c:extLst>
            </c:dLbl>
            <c:dLbl>
              <c:idx val="2"/>
              <c:delete val="1"/>
              <c:extLst>
                <c:ext xmlns:c15="http://schemas.microsoft.com/office/drawing/2012/chart" uri="{CE6537A1-D6FC-4f65-9D91-7224C49458BB}"/>
                <c:ext xmlns:c16="http://schemas.microsoft.com/office/drawing/2014/chart" uri="{C3380CC4-5D6E-409C-BE32-E72D297353CC}">
                  <c16:uniqueId val="{00000004-A57D-489E-9C72-1B491F149C0F}"/>
                </c:ext>
              </c:extLst>
            </c:dLbl>
            <c:dLbl>
              <c:idx val="3"/>
              <c:delete val="1"/>
              <c:extLst>
                <c:ext xmlns:c15="http://schemas.microsoft.com/office/drawing/2012/chart" uri="{CE6537A1-D6FC-4f65-9D91-7224C49458BB}"/>
                <c:ext xmlns:c16="http://schemas.microsoft.com/office/drawing/2014/chart" uri="{C3380CC4-5D6E-409C-BE32-E72D297353CC}">
                  <c16:uniqueId val="{00000005-A57D-489E-9C72-1B491F149C0F}"/>
                </c:ext>
              </c:extLst>
            </c:dLbl>
            <c:dLbl>
              <c:idx val="4"/>
              <c:delete val="1"/>
              <c:extLst>
                <c:ext xmlns:c15="http://schemas.microsoft.com/office/drawing/2012/chart" uri="{CE6537A1-D6FC-4f65-9D91-7224C49458BB}"/>
                <c:ext xmlns:c16="http://schemas.microsoft.com/office/drawing/2014/chart" uri="{C3380CC4-5D6E-409C-BE32-E72D297353CC}">
                  <c16:uniqueId val="{00000006-A57D-489E-9C72-1B491F149C0F}"/>
                </c:ext>
              </c:extLst>
            </c:dLbl>
            <c:dLbl>
              <c:idx val="5"/>
              <c:delete val="1"/>
              <c:extLst>
                <c:ext xmlns:c15="http://schemas.microsoft.com/office/drawing/2012/chart" uri="{CE6537A1-D6FC-4f65-9D91-7224C49458BB}"/>
                <c:ext xmlns:c16="http://schemas.microsoft.com/office/drawing/2014/chart" uri="{C3380CC4-5D6E-409C-BE32-E72D297353CC}">
                  <c16:uniqueId val="{00000007-A57D-489E-9C72-1B491F149C0F}"/>
                </c:ext>
              </c:extLst>
            </c:dLbl>
            <c:dLbl>
              <c:idx val="6"/>
              <c:delete val="1"/>
              <c:extLst>
                <c:ext xmlns:c15="http://schemas.microsoft.com/office/drawing/2012/chart" uri="{CE6537A1-D6FC-4f65-9D91-7224C49458BB}"/>
                <c:ext xmlns:c16="http://schemas.microsoft.com/office/drawing/2014/chart" uri="{C3380CC4-5D6E-409C-BE32-E72D297353CC}">
                  <c16:uniqueId val="{00000008-A57D-489E-9C72-1B491F149C0F}"/>
                </c:ext>
              </c:extLst>
            </c:dLbl>
            <c:dLbl>
              <c:idx val="7"/>
              <c:delete val="1"/>
              <c:extLst>
                <c:ext xmlns:c15="http://schemas.microsoft.com/office/drawing/2012/chart" uri="{CE6537A1-D6FC-4f65-9D91-7224C49458BB}"/>
                <c:ext xmlns:c16="http://schemas.microsoft.com/office/drawing/2014/chart" uri="{C3380CC4-5D6E-409C-BE32-E72D297353CC}">
                  <c16:uniqueId val="{00000009-A57D-489E-9C72-1B491F149C0F}"/>
                </c:ext>
              </c:extLst>
            </c:dLbl>
            <c:dLbl>
              <c:idx val="8"/>
              <c:delete val="1"/>
              <c:extLst>
                <c:ext xmlns:c15="http://schemas.microsoft.com/office/drawing/2012/chart" uri="{CE6537A1-D6FC-4f65-9D91-7224C49458BB}"/>
                <c:ext xmlns:c16="http://schemas.microsoft.com/office/drawing/2014/chart" uri="{C3380CC4-5D6E-409C-BE32-E72D297353CC}">
                  <c16:uniqueId val="{0000000A-A57D-489E-9C72-1B491F149C0F}"/>
                </c:ext>
              </c:extLst>
            </c:dLbl>
            <c:dLbl>
              <c:idx val="9"/>
              <c:delete val="1"/>
              <c:extLst>
                <c:ext xmlns:c15="http://schemas.microsoft.com/office/drawing/2012/chart" uri="{CE6537A1-D6FC-4f65-9D91-7224C49458BB}"/>
                <c:ext xmlns:c16="http://schemas.microsoft.com/office/drawing/2014/chart" uri="{C3380CC4-5D6E-409C-BE32-E72D297353CC}">
                  <c16:uniqueId val="{0000000B-A57D-489E-9C72-1B491F149C0F}"/>
                </c:ext>
              </c:extLst>
            </c:dLbl>
            <c:dLbl>
              <c:idx val="10"/>
              <c:delete val="1"/>
              <c:extLst>
                <c:ext xmlns:c15="http://schemas.microsoft.com/office/drawing/2012/chart" uri="{CE6537A1-D6FC-4f65-9D91-7224C49458BB}"/>
                <c:ext xmlns:c16="http://schemas.microsoft.com/office/drawing/2014/chart" uri="{C3380CC4-5D6E-409C-BE32-E72D297353CC}">
                  <c16:uniqueId val="{0000000C-A57D-489E-9C72-1B491F149C0F}"/>
                </c:ext>
              </c:extLst>
            </c:dLbl>
            <c:dLbl>
              <c:idx val="1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57D-489E-9C72-1B491F149C0F}"/>
                </c:ext>
              </c:extLst>
            </c:dLbl>
            <c:dLbl>
              <c:idx val="12"/>
              <c:delete val="1"/>
              <c:extLst>
                <c:ext xmlns:c15="http://schemas.microsoft.com/office/drawing/2012/chart" uri="{CE6537A1-D6FC-4f65-9D91-7224C49458BB}"/>
                <c:ext xmlns:c16="http://schemas.microsoft.com/office/drawing/2014/chart" uri="{C3380CC4-5D6E-409C-BE32-E72D297353CC}">
                  <c16:uniqueId val="{0000000E-A57D-489E-9C72-1B491F149C0F}"/>
                </c:ext>
              </c:extLst>
            </c:dLbl>
            <c:dLbl>
              <c:idx val="13"/>
              <c:delete val="1"/>
              <c:extLst>
                <c:ext xmlns:c15="http://schemas.microsoft.com/office/drawing/2012/chart" uri="{CE6537A1-D6FC-4f65-9D91-7224C49458BB}"/>
                <c:ext xmlns:c16="http://schemas.microsoft.com/office/drawing/2014/chart" uri="{C3380CC4-5D6E-409C-BE32-E72D297353CC}">
                  <c16:uniqueId val="{0000000F-A57D-489E-9C72-1B491F149C0F}"/>
                </c:ext>
              </c:extLst>
            </c:dLbl>
            <c:dLbl>
              <c:idx val="14"/>
              <c:delete val="1"/>
              <c:extLst>
                <c:ext xmlns:c15="http://schemas.microsoft.com/office/drawing/2012/chart" uri="{CE6537A1-D6FC-4f65-9D91-7224C49458BB}"/>
                <c:ext xmlns:c16="http://schemas.microsoft.com/office/drawing/2014/chart" uri="{C3380CC4-5D6E-409C-BE32-E72D297353CC}">
                  <c16:uniqueId val="{00000010-A57D-489E-9C72-1B491F149C0F}"/>
                </c:ext>
              </c:extLst>
            </c:dLbl>
            <c:dLbl>
              <c:idx val="15"/>
              <c:delete val="1"/>
              <c:extLst>
                <c:ext xmlns:c15="http://schemas.microsoft.com/office/drawing/2012/chart" uri="{CE6537A1-D6FC-4f65-9D91-7224C49458BB}"/>
                <c:ext xmlns:c16="http://schemas.microsoft.com/office/drawing/2014/chart" uri="{C3380CC4-5D6E-409C-BE32-E72D297353CC}">
                  <c16:uniqueId val="{00000011-A57D-489E-9C72-1B491F149C0F}"/>
                </c:ext>
              </c:extLst>
            </c:dLbl>
            <c:dLbl>
              <c:idx val="16"/>
              <c:delete val="1"/>
              <c:extLst>
                <c:ext xmlns:c15="http://schemas.microsoft.com/office/drawing/2012/chart" uri="{CE6537A1-D6FC-4f65-9D91-7224C49458BB}"/>
                <c:ext xmlns:c16="http://schemas.microsoft.com/office/drawing/2014/chart" uri="{C3380CC4-5D6E-409C-BE32-E72D297353CC}">
                  <c16:uniqueId val="{00000012-A57D-489E-9C72-1B491F149C0F}"/>
                </c:ext>
              </c:extLst>
            </c:dLbl>
            <c:dLbl>
              <c:idx val="17"/>
              <c:delete val="1"/>
              <c:extLst>
                <c:ext xmlns:c15="http://schemas.microsoft.com/office/drawing/2012/chart" uri="{CE6537A1-D6FC-4f65-9D91-7224C49458BB}"/>
                <c:ext xmlns:c16="http://schemas.microsoft.com/office/drawing/2014/chart" uri="{C3380CC4-5D6E-409C-BE32-E72D297353CC}">
                  <c16:uniqueId val="{00000013-A57D-489E-9C72-1B491F149C0F}"/>
                </c:ext>
              </c:extLst>
            </c:dLbl>
            <c:dLbl>
              <c:idx val="18"/>
              <c:delete val="1"/>
              <c:extLst>
                <c:ext xmlns:c15="http://schemas.microsoft.com/office/drawing/2012/chart" uri="{CE6537A1-D6FC-4f65-9D91-7224C49458BB}"/>
                <c:ext xmlns:c16="http://schemas.microsoft.com/office/drawing/2014/chart" uri="{C3380CC4-5D6E-409C-BE32-E72D297353CC}">
                  <c16:uniqueId val="{00000014-A57D-489E-9C72-1B491F149C0F}"/>
                </c:ext>
              </c:extLst>
            </c:dLbl>
            <c:dLbl>
              <c:idx val="19"/>
              <c:delete val="1"/>
              <c:extLst>
                <c:ext xmlns:c15="http://schemas.microsoft.com/office/drawing/2012/chart" uri="{CE6537A1-D6FC-4f65-9D91-7224C49458BB}"/>
                <c:ext xmlns:c16="http://schemas.microsoft.com/office/drawing/2014/chart" uri="{C3380CC4-5D6E-409C-BE32-E72D297353CC}">
                  <c16:uniqueId val="{00000015-A57D-489E-9C72-1B491F149C0F}"/>
                </c:ext>
              </c:extLst>
            </c:dLbl>
            <c:dLbl>
              <c:idx val="20"/>
              <c:delete val="1"/>
              <c:extLst>
                <c:ext xmlns:c15="http://schemas.microsoft.com/office/drawing/2012/chart" uri="{CE6537A1-D6FC-4f65-9D91-7224C49458BB}"/>
                <c:ext xmlns:c16="http://schemas.microsoft.com/office/drawing/2014/chart" uri="{C3380CC4-5D6E-409C-BE32-E72D297353CC}">
                  <c16:uniqueId val="{00000016-A57D-489E-9C72-1B491F149C0F}"/>
                </c:ext>
              </c:extLst>
            </c:dLbl>
            <c:dLbl>
              <c:idx val="2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extLst>
                <c:ext xmlns:c16="http://schemas.microsoft.com/office/drawing/2014/chart" uri="{C3380CC4-5D6E-409C-BE32-E72D297353CC}">
                  <c16:uniqueId val="{00000017-A57D-489E-9C72-1B491F149C0F}"/>
                </c:ext>
              </c:extLst>
            </c:dLbl>
            <c:dLbl>
              <c:idx val="22"/>
              <c:delete val="1"/>
              <c:extLst>
                <c:ext xmlns:c15="http://schemas.microsoft.com/office/drawing/2012/chart" uri="{CE6537A1-D6FC-4f65-9D91-7224C49458BB}"/>
                <c:ext xmlns:c16="http://schemas.microsoft.com/office/drawing/2014/chart" uri="{C3380CC4-5D6E-409C-BE32-E72D297353CC}">
                  <c16:uniqueId val="{00000018-A57D-489E-9C72-1B491F149C0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2'!$AD$61:$AD$83</c:f>
              <c:numCache>
                <c:formatCode>General</c:formatCode>
                <c:ptCount val="23"/>
                <c:pt idx="0">
                  <c:v>0</c:v>
                </c:pt>
                <c:pt idx="1">
                  <c:v>-0.67161840000000006</c:v>
                </c:pt>
                <c:pt idx="2">
                  <c:v>-0.41640340800000009</c:v>
                </c:pt>
                <c:pt idx="3">
                  <c:v>-0.188053152</c:v>
                </c:pt>
                <c:pt idx="4">
                  <c:v>1.3432368000000028E-2</c:v>
                </c:pt>
                <c:pt idx="5">
                  <c:v>0.18805315199999995</c:v>
                </c:pt>
                <c:pt idx="6">
                  <c:v>0.33580920000000014</c:v>
                </c:pt>
                <c:pt idx="7">
                  <c:v>0.45670051199999984</c:v>
                </c:pt>
                <c:pt idx="8">
                  <c:v>0.55072708799999992</c:v>
                </c:pt>
                <c:pt idx="9">
                  <c:v>0.61788892799999995</c:v>
                </c:pt>
                <c:pt idx="10">
                  <c:v>0.65818603199999992</c:v>
                </c:pt>
                <c:pt idx="11">
                  <c:v>0.67161840000000006</c:v>
                </c:pt>
                <c:pt idx="12">
                  <c:v>0.65818603199999992</c:v>
                </c:pt>
                <c:pt idx="13">
                  <c:v>0.61788892799999995</c:v>
                </c:pt>
                <c:pt idx="14">
                  <c:v>0.55072708799999948</c:v>
                </c:pt>
                <c:pt idx="15">
                  <c:v>0.45670051199999984</c:v>
                </c:pt>
                <c:pt idx="16">
                  <c:v>0.33580920000000014</c:v>
                </c:pt>
                <c:pt idx="17">
                  <c:v>0.18805315199999995</c:v>
                </c:pt>
                <c:pt idx="18">
                  <c:v>1.3432368000000472E-2</c:v>
                </c:pt>
                <c:pt idx="19">
                  <c:v>-0.18805315200000017</c:v>
                </c:pt>
                <c:pt idx="20">
                  <c:v>-0.41640340800000059</c:v>
                </c:pt>
                <c:pt idx="21">
                  <c:v>-0.67161840000000006</c:v>
                </c:pt>
                <c:pt idx="22">
                  <c:v>0</c:v>
                </c:pt>
              </c:numCache>
            </c:numRef>
          </c:xVal>
          <c:yVal>
            <c:numRef>
              <c:f>'Beispiel 2'!$AE$61:$AE$83</c:f>
              <c:numCache>
                <c:formatCode>General</c:formatCode>
                <c:ptCount val="23"/>
                <c:pt idx="0">
                  <c:v>0</c:v>
                </c:pt>
                <c:pt idx="1">
                  <c:v>0</c:v>
                </c:pt>
                <c:pt idx="2">
                  <c:v>0.13225000000000001</c:v>
                </c:pt>
                <c:pt idx="3">
                  <c:v>0.26450000000000001</c:v>
                </c:pt>
                <c:pt idx="4">
                  <c:v>0.39675000000000005</c:v>
                </c:pt>
                <c:pt idx="5">
                  <c:v>0.52900000000000003</c:v>
                </c:pt>
                <c:pt idx="6">
                  <c:v>0.66125</c:v>
                </c:pt>
                <c:pt idx="7">
                  <c:v>0.79350000000000009</c:v>
                </c:pt>
                <c:pt idx="8">
                  <c:v>0.92575000000000007</c:v>
                </c:pt>
                <c:pt idx="9">
                  <c:v>1.0580000000000001</c:v>
                </c:pt>
                <c:pt idx="10">
                  <c:v>1.19025</c:v>
                </c:pt>
                <c:pt idx="11">
                  <c:v>1.3225</c:v>
                </c:pt>
                <c:pt idx="12">
                  <c:v>1.45475</c:v>
                </c:pt>
                <c:pt idx="13">
                  <c:v>1.5870000000000002</c:v>
                </c:pt>
                <c:pt idx="14">
                  <c:v>1.7192499999999999</c:v>
                </c:pt>
                <c:pt idx="15">
                  <c:v>1.8515000000000001</c:v>
                </c:pt>
                <c:pt idx="16">
                  <c:v>1.9837499999999999</c:v>
                </c:pt>
                <c:pt idx="17">
                  <c:v>2.1160000000000001</c:v>
                </c:pt>
                <c:pt idx="18">
                  <c:v>2.2482500000000001</c:v>
                </c:pt>
                <c:pt idx="19">
                  <c:v>2.3805000000000001</c:v>
                </c:pt>
                <c:pt idx="20">
                  <c:v>2.51275</c:v>
                </c:pt>
                <c:pt idx="21">
                  <c:v>2.645</c:v>
                </c:pt>
                <c:pt idx="22">
                  <c:v>2.645</c:v>
                </c:pt>
              </c:numCache>
            </c:numRef>
          </c:yVal>
          <c:smooth val="0"/>
          <c:extLst>
            <c:ext xmlns:c16="http://schemas.microsoft.com/office/drawing/2014/chart" uri="{C3380CC4-5D6E-409C-BE32-E72D297353CC}">
              <c16:uniqueId val="{00000019-A57D-489E-9C72-1B491F149C0F}"/>
            </c:ext>
          </c:extLst>
        </c:ser>
        <c:dLbls>
          <c:showLegendKey val="0"/>
          <c:showVal val="0"/>
          <c:showCatName val="0"/>
          <c:showSerName val="0"/>
          <c:showPercent val="0"/>
          <c:showBubbleSize val="0"/>
        </c:dLbls>
        <c:axId val="471505320"/>
        <c:axId val="471505712"/>
      </c:scatterChart>
      <c:valAx>
        <c:axId val="47150532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AT" b="1">
                    <a:solidFill>
                      <a:sysClr val="windowText" lastClr="000000"/>
                    </a:solidFill>
                  </a:rPr>
                  <a:t>Biegemoment durch Windlast </a:t>
                </a:r>
                <a:r>
                  <a:rPr lang="de-AT" b="1" baseline="0">
                    <a:solidFill>
                      <a:sysClr val="windowText" lastClr="000000"/>
                    </a:solidFill>
                  </a:rPr>
                  <a:t>[kNm/m]</a:t>
                </a:r>
                <a:endParaRPr lang="de-AT"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in"/>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5712"/>
        <c:crosses val="autoZero"/>
        <c:crossBetween val="midCat"/>
      </c:valAx>
      <c:valAx>
        <c:axId val="471505712"/>
        <c:scaling>
          <c:orientation val="minMax"/>
          <c:min val="0"/>
        </c:scaling>
        <c:delete val="0"/>
        <c:axPos val="l"/>
        <c:numFmt formatCode="0.00" sourceLinked="1"/>
        <c:majorTickMark val="cross"/>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532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30873015873016E-2"/>
          <c:y val="4.8506944444444443E-2"/>
          <c:w val="0.85232460317460312"/>
          <c:h val="0.77683159722222206"/>
        </c:manualLayout>
      </c:layout>
      <c:scatterChart>
        <c:scatterStyle val="lineMarker"/>
        <c:varyColors val="0"/>
        <c:ser>
          <c:idx val="3"/>
          <c:order val="0"/>
          <c:tx>
            <c:strRef>
              <c:f>Berechnung!$T$67</c:f>
              <c:strCache>
                <c:ptCount val="1"/>
                <c:pt idx="0">
                  <c:v>Outline</c:v>
                </c:pt>
              </c:strCache>
            </c:strRef>
          </c:tx>
          <c:spPr>
            <a:ln w="19050" cap="rnd">
              <a:noFill/>
              <a:round/>
            </a:ln>
            <a:effectLst/>
          </c:spPr>
          <c:marker>
            <c:symbol val="none"/>
          </c:marker>
          <c:xVal>
            <c:numRef>
              <c:f>Berechnung!$V$67:$W$67</c:f>
              <c:numCache>
                <c:formatCode>0.00</c:formatCode>
                <c:ptCount val="2"/>
                <c:pt idx="0">
                  <c:v>7.2970887306824102</c:v>
                </c:pt>
                <c:pt idx="1">
                  <c:v>-7.2970887306824102</c:v>
                </c:pt>
              </c:numCache>
            </c:numRef>
          </c:xVal>
          <c:yVal>
            <c:numRef>
              <c:f>Berechnung!$V$68:$W$68</c:f>
              <c:numCache>
                <c:formatCode>0.00</c:formatCode>
                <c:ptCount val="2"/>
                <c:pt idx="0">
                  <c:v>3.4</c:v>
                </c:pt>
                <c:pt idx="1">
                  <c:v>3.4</c:v>
                </c:pt>
              </c:numCache>
            </c:numRef>
          </c:yVal>
          <c:smooth val="0"/>
          <c:extLst>
            <c:ext xmlns:c16="http://schemas.microsoft.com/office/drawing/2014/chart" uri="{C3380CC4-5D6E-409C-BE32-E72D297353CC}">
              <c16:uniqueId val="{00000000-9EA0-4BA7-A244-8ECB8AAA754D}"/>
            </c:ext>
          </c:extLst>
        </c:ser>
        <c:ser>
          <c:idx val="4"/>
          <c:order val="1"/>
          <c:tx>
            <c:strRef>
              <c:f>Berechnung!$T$70</c:f>
              <c:strCache>
                <c:ptCount val="1"/>
                <c:pt idx="0">
                  <c:v>Wall</c:v>
                </c:pt>
              </c:strCache>
            </c:strRef>
          </c:tx>
          <c:spPr>
            <a:ln w="19050" cap="rnd">
              <a:solidFill>
                <a:sysClr val="windowText" lastClr="000000"/>
              </a:solidFill>
              <a:round/>
            </a:ln>
            <a:effectLst/>
          </c:spPr>
          <c:marker>
            <c:symbol val="none"/>
          </c:marker>
          <c:xVal>
            <c:numRef>
              <c:f>Berechnung!$V$70:$W$70</c:f>
              <c:numCache>
                <c:formatCode>0.00</c:formatCode>
                <c:ptCount val="2"/>
                <c:pt idx="0">
                  <c:v>0</c:v>
                </c:pt>
                <c:pt idx="1">
                  <c:v>0</c:v>
                </c:pt>
              </c:numCache>
            </c:numRef>
          </c:xVal>
          <c:yVal>
            <c:numRef>
              <c:f>Berechnung!$V$71:$W$71</c:f>
              <c:numCache>
                <c:formatCode>0.00</c:formatCode>
                <c:ptCount val="2"/>
                <c:pt idx="0">
                  <c:v>0</c:v>
                </c:pt>
                <c:pt idx="1">
                  <c:v>3.4</c:v>
                </c:pt>
              </c:numCache>
            </c:numRef>
          </c:yVal>
          <c:smooth val="0"/>
          <c:extLst>
            <c:ext xmlns:c16="http://schemas.microsoft.com/office/drawing/2014/chart" uri="{C3380CC4-5D6E-409C-BE32-E72D297353CC}">
              <c16:uniqueId val="{00000001-9EA0-4BA7-A244-8ECB8AAA754D}"/>
            </c:ext>
          </c:extLst>
        </c:ser>
        <c:ser>
          <c:idx val="5"/>
          <c:order val="2"/>
          <c:tx>
            <c:strRef>
              <c:f>Berechnung!$T$63</c:f>
              <c:strCache>
                <c:ptCount val="1"/>
                <c:pt idx="0">
                  <c:v>Slab rotation</c:v>
                </c:pt>
              </c:strCache>
            </c:strRef>
          </c:tx>
          <c:spPr>
            <a:ln w="19050" cap="rnd">
              <a:solidFill>
                <a:schemeClr val="accent2"/>
              </a:solidFill>
              <a:round/>
            </a:ln>
            <a:effectLst/>
          </c:spPr>
          <c:marker>
            <c:symbol val="none"/>
          </c:marker>
          <c:xVal>
            <c:numRef>
              <c:f>Berechnung!$V$64:$Y$64</c:f>
              <c:numCache>
                <c:formatCode>0.00</c:formatCode>
                <c:ptCount val="4"/>
                <c:pt idx="0">
                  <c:v>0</c:v>
                </c:pt>
                <c:pt idx="1">
                  <c:v>3.9022048138929311</c:v>
                </c:pt>
                <c:pt idx="2">
                  <c:v>-6.3452945484194876</c:v>
                </c:pt>
                <c:pt idx="3">
                  <c:v>0</c:v>
                </c:pt>
              </c:numCache>
            </c:numRef>
          </c:xVal>
          <c:yVal>
            <c:numRef>
              <c:f>Berechnung!$V$65:$Y$65</c:f>
              <c:numCache>
                <c:formatCode>0.00</c:formatCode>
                <c:ptCount val="4"/>
                <c:pt idx="0">
                  <c:v>0</c:v>
                </c:pt>
                <c:pt idx="1">
                  <c:v>0</c:v>
                </c:pt>
                <c:pt idx="2">
                  <c:v>3.4</c:v>
                </c:pt>
                <c:pt idx="3">
                  <c:v>3.4</c:v>
                </c:pt>
              </c:numCache>
            </c:numRef>
          </c:yVal>
          <c:smooth val="0"/>
          <c:extLst>
            <c:ext xmlns:c16="http://schemas.microsoft.com/office/drawing/2014/chart" uri="{C3380CC4-5D6E-409C-BE32-E72D297353CC}">
              <c16:uniqueId val="{00000002-9EA0-4BA7-A244-8ECB8AAA754D}"/>
            </c:ext>
          </c:extLst>
        </c:ser>
        <c:ser>
          <c:idx val="1"/>
          <c:order val="3"/>
          <c:tx>
            <c:strRef>
              <c:f>Berechnung!$T$67</c:f>
              <c:strCache>
                <c:ptCount val="1"/>
                <c:pt idx="0">
                  <c:v>Outline</c:v>
                </c:pt>
              </c:strCache>
            </c:strRef>
          </c:tx>
          <c:spPr>
            <a:ln w="19050" cap="rnd">
              <a:noFill/>
              <a:round/>
            </a:ln>
            <a:effectLst/>
          </c:spPr>
          <c:marker>
            <c:symbol val="none"/>
          </c:marker>
          <c:xVal>
            <c:numRef>
              <c:f>Berechnung!$V$67:$W$67</c:f>
              <c:numCache>
                <c:formatCode>0.00</c:formatCode>
                <c:ptCount val="2"/>
                <c:pt idx="0">
                  <c:v>7.2970887306824102</c:v>
                </c:pt>
                <c:pt idx="1">
                  <c:v>-7.2970887306824102</c:v>
                </c:pt>
              </c:numCache>
            </c:numRef>
          </c:xVal>
          <c:yVal>
            <c:numRef>
              <c:f>Berechnung!$V$68:$W$68</c:f>
              <c:numCache>
                <c:formatCode>0.00</c:formatCode>
                <c:ptCount val="2"/>
                <c:pt idx="0">
                  <c:v>3.4</c:v>
                </c:pt>
                <c:pt idx="1">
                  <c:v>3.4</c:v>
                </c:pt>
              </c:numCache>
            </c:numRef>
          </c:yVal>
          <c:smooth val="0"/>
          <c:extLst>
            <c:ext xmlns:c16="http://schemas.microsoft.com/office/drawing/2014/chart" uri="{C3380CC4-5D6E-409C-BE32-E72D297353CC}">
              <c16:uniqueId val="{00000003-9EA0-4BA7-A244-8ECB8AAA754D}"/>
            </c:ext>
          </c:extLst>
        </c:ser>
        <c:ser>
          <c:idx val="2"/>
          <c:order val="4"/>
          <c:tx>
            <c:strRef>
              <c:f>Berechnung!$T$70</c:f>
              <c:strCache>
                <c:ptCount val="1"/>
                <c:pt idx="0">
                  <c:v>Wall</c:v>
                </c:pt>
              </c:strCache>
            </c:strRef>
          </c:tx>
          <c:spPr>
            <a:ln w="19050" cap="rnd">
              <a:solidFill>
                <a:sysClr val="windowText" lastClr="000000"/>
              </a:solidFill>
              <a:round/>
            </a:ln>
            <a:effectLst/>
          </c:spPr>
          <c:marker>
            <c:symbol val="none"/>
          </c:marker>
          <c:xVal>
            <c:numRef>
              <c:f>Berechnung!$V$70:$W$70</c:f>
              <c:numCache>
                <c:formatCode>0.00</c:formatCode>
                <c:ptCount val="2"/>
                <c:pt idx="0">
                  <c:v>0</c:v>
                </c:pt>
                <c:pt idx="1">
                  <c:v>0</c:v>
                </c:pt>
              </c:numCache>
            </c:numRef>
          </c:xVal>
          <c:yVal>
            <c:numRef>
              <c:f>Berechnung!$V$71:$W$71</c:f>
              <c:numCache>
                <c:formatCode>0.00</c:formatCode>
                <c:ptCount val="2"/>
                <c:pt idx="0">
                  <c:v>0</c:v>
                </c:pt>
                <c:pt idx="1">
                  <c:v>3.4</c:v>
                </c:pt>
              </c:numCache>
            </c:numRef>
          </c:yVal>
          <c:smooth val="0"/>
          <c:extLst>
            <c:ext xmlns:c16="http://schemas.microsoft.com/office/drawing/2014/chart" uri="{C3380CC4-5D6E-409C-BE32-E72D297353CC}">
              <c16:uniqueId val="{00000004-9EA0-4BA7-A244-8ECB8AAA754D}"/>
            </c:ext>
          </c:extLst>
        </c:ser>
        <c:ser>
          <c:idx val="0"/>
          <c:order val="5"/>
          <c:tx>
            <c:strRef>
              <c:f>Berechnung!$T$63</c:f>
              <c:strCache>
                <c:ptCount val="1"/>
                <c:pt idx="0">
                  <c:v>Slab rotation</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3-6CBB-44CA-AAE9-1DCE9B221DC4}"/>
                </c:ext>
              </c:extLst>
            </c:dLbl>
            <c:dLbl>
              <c:idx val="1"/>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CBB-44CA-AAE9-1DCE9B221DC4}"/>
                </c:ext>
              </c:extLst>
            </c:dLbl>
            <c:dLbl>
              <c:idx val="2"/>
              <c:dLblPos val="l"/>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CBB-44CA-AAE9-1DCE9B221DC4}"/>
                </c:ext>
              </c:extLst>
            </c:dLbl>
            <c:dLbl>
              <c:idx val="3"/>
              <c:delete val="1"/>
              <c:extLst>
                <c:ext xmlns:c15="http://schemas.microsoft.com/office/drawing/2012/chart" uri="{CE6537A1-D6FC-4f65-9D91-7224C49458BB}"/>
                <c:ext xmlns:c16="http://schemas.microsoft.com/office/drawing/2014/chart" uri="{C3380CC4-5D6E-409C-BE32-E72D297353CC}">
                  <c16:uniqueId val="{00000000-6CBB-44CA-AAE9-1DCE9B221DC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Berechnung!$V$64:$Y$64</c:f>
              <c:numCache>
                <c:formatCode>0.00</c:formatCode>
                <c:ptCount val="4"/>
                <c:pt idx="0">
                  <c:v>0</c:v>
                </c:pt>
                <c:pt idx="1">
                  <c:v>3.9022048138929311</c:v>
                </c:pt>
                <c:pt idx="2">
                  <c:v>-6.3452945484194876</c:v>
                </c:pt>
                <c:pt idx="3">
                  <c:v>0</c:v>
                </c:pt>
              </c:numCache>
            </c:numRef>
          </c:xVal>
          <c:yVal>
            <c:numRef>
              <c:f>Berechnung!$V$65:$Y$65</c:f>
              <c:numCache>
                <c:formatCode>0.00</c:formatCode>
                <c:ptCount val="4"/>
                <c:pt idx="0">
                  <c:v>0</c:v>
                </c:pt>
                <c:pt idx="1">
                  <c:v>0</c:v>
                </c:pt>
                <c:pt idx="2">
                  <c:v>3.4</c:v>
                </c:pt>
                <c:pt idx="3">
                  <c:v>3.4</c:v>
                </c:pt>
              </c:numCache>
            </c:numRef>
          </c:yVal>
          <c:smooth val="0"/>
          <c:extLst>
            <c:ext xmlns:c16="http://schemas.microsoft.com/office/drawing/2014/chart" uri="{C3380CC4-5D6E-409C-BE32-E72D297353CC}">
              <c16:uniqueId val="{00000005-9EA0-4BA7-A244-8ECB8AAA754D}"/>
            </c:ext>
          </c:extLst>
        </c:ser>
        <c:dLbls>
          <c:showLegendKey val="0"/>
          <c:showVal val="0"/>
          <c:showCatName val="0"/>
          <c:showSerName val="0"/>
          <c:showPercent val="0"/>
          <c:showBubbleSize val="0"/>
        </c:dLbls>
        <c:axId val="467687792"/>
        <c:axId val="467686224"/>
      </c:scatterChart>
      <c:valAx>
        <c:axId val="46768779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AT" b="1">
                    <a:solidFill>
                      <a:sysClr val="windowText" lastClr="000000"/>
                    </a:solidFill>
                  </a:rPr>
                  <a:t>Biegemoment durch Deckenverdrehung </a:t>
                </a:r>
                <a:r>
                  <a:rPr lang="de-AT" b="1" baseline="0">
                    <a:solidFill>
                      <a:sysClr val="windowText" lastClr="000000"/>
                    </a:solidFill>
                  </a:rPr>
                  <a:t>[kNm/m]</a:t>
                </a:r>
                <a:endParaRPr lang="de-AT"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in"/>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6224"/>
        <c:crosses val="autoZero"/>
        <c:crossBetween val="midCat"/>
      </c:valAx>
      <c:valAx>
        <c:axId val="467686224"/>
        <c:scaling>
          <c:orientation val="minMax"/>
          <c:min val="0"/>
        </c:scaling>
        <c:delete val="0"/>
        <c:axPos val="l"/>
        <c:numFmt formatCode="0.00" sourceLinked="1"/>
        <c:majorTickMark val="cross"/>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7792"/>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1.9696913580246913E-2"/>
          <c:w val="1"/>
          <c:h val="0.95825434027777778"/>
        </c:manualLayout>
      </c:layout>
      <c:scatterChart>
        <c:scatterStyle val="lineMarker"/>
        <c:varyColors val="0"/>
        <c:ser>
          <c:idx val="0"/>
          <c:order val="0"/>
          <c:tx>
            <c:strRef>
              <c:f>'Beispiel 2'!$S$31</c:f>
              <c:strCache>
                <c:ptCount val="1"/>
                <c:pt idx="0">
                  <c:v>W1</c:v>
                </c:pt>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FC35-4907-8807-DC0718C726E2}"/>
                </c:ext>
              </c:extLst>
            </c:dLbl>
            <c:dLbl>
              <c:idx val="1"/>
              <c:delete val="1"/>
              <c:extLst>
                <c:ext xmlns:c15="http://schemas.microsoft.com/office/drawing/2012/chart" uri="{CE6537A1-D6FC-4f65-9D91-7224C49458BB}"/>
                <c:ext xmlns:c16="http://schemas.microsoft.com/office/drawing/2014/chart" uri="{C3380CC4-5D6E-409C-BE32-E72D297353CC}">
                  <c16:uniqueId val="{00000001-FC35-4907-8807-DC0718C726E2}"/>
                </c:ext>
              </c:extLst>
            </c:dLbl>
            <c:dLbl>
              <c:idx val="2"/>
              <c:delete val="1"/>
              <c:extLst>
                <c:ext xmlns:c15="http://schemas.microsoft.com/office/drawing/2012/chart" uri="{CE6537A1-D6FC-4f65-9D91-7224C49458BB}"/>
                <c:ext xmlns:c16="http://schemas.microsoft.com/office/drawing/2014/chart" uri="{C3380CC4-5D6E-409C-BE32-E72D297353CC}">
                  <c16:uniqueId val="{00000002-FC35-4907-8807-DC0718C726E2}"/>
                </c:ext>
              </c:extLst>
            </c:dLbl>
            <c:dLbl>
              <c:idx val="3"/>
              <c:delete val="1"/>
              <c:extLst>
                <c:ext xmlns:c15="http://schemas.microsoft.com/office/drawing/2012/chart" uri="{CE6537A1-D6FC-4f65-9D91-7224C49458BB}"/>
                <c:ext xmlns:c16="http://schemas.microsoft.com/office/drawing/2014/chart" uri="{C3380CC4-5D6E-409C-BE32-E72D297353CC}">
                  <c16:uniqueId val="{00000003-FC35-4907-8807-DC0718C726E2}"/>
                </c:ext>
              </c:extLst>
            </c:dLbl>
            <c:dLbl>
              <c:idx val="4"/>
              <c:delete val="1"/>
              <c:extLst>
                <c:ext xmlns:c15="http://schemas.microsoft.com/office/drawing/2012/chart" uri="{CE6537A1-D6FC-4f65-9D91-7224C49458BB}"/>
                <c:ext xmlns:c16="http://schemas.microsoft.com/office/drawing/2014/chart" uri="{C3380CC4-5D6E-409C-BE32-E72D297353CC}">
                  <c16:uniqueId val="{00000004-FC35-4907-8807-DC0718C72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2'!$V$31:$AA$31</c:f>
              <c:numCache>
                <c:formatCode>General</c:formatCode>
                <c:ptCount val="6"/>
                <c:pt idx="0">
                  <c:v>0.125</c:v>
                </c:pt>
                <c:pt idx="1">
                  <c:v>0.125</c:v>
                </c:pt>
                <c:pt idx="2">
                  <c:v>-0.125</c:v>
                </c:pt>
                <c:pt idx="3">
                  <c:v>-0.125</c:v>
                </c:pt>
                <c:pt idx="4">
                  <c:v>0.125</c:v>
                </c:pt>
                <c:pt idx="5">
                  <c:v>0.125</c:v>
                </c:pt>
              </c:numCache>
            </c:numRef>
          </c:xVal>
          <c:yVal>
            <c:numRef>
              <c:f>'Beispiel 2'!$V$32:$AA$32</c:f>
              <c:numCache>
                <c:formatCode>General</c:formatCode>
                <c:ptCount val="6"/>
                <c:pt idx="0">
                  <c:v>0</c:v>
                </c:pt>
                <c:pt idx="1">
                  <c:v>2.5</c:v>
                </c:pt>
                <c:pt idx="2">
                  <c:v>2.5</c:v>
                </c:pt>
                <c:pt idx="3">
                  <c:v>0</c:v>
                </c:pt>
                <c:pt idx="4">
                  <c:v>0</c:v>
                </c:pt>
                <c:pt idx="5">
                  <c:v>1.25</c:v>
                </c:pt>
              </c:numCache>
            </c:numRef>
          </c:yVal>
          <c:smooth val="0"/>
          <c:extLst>
            <c:ext xmlns:c16="http://schemas.microsoft.com/office/drawing/2014/chart" uri="{C3380CC4-5D6E-409C-BE32-E72D297353CC}">
              <c16:uniqueId val="{00000005-FC35-4907-8807-DC0718C726E2}"/>
            </c:ext>
          </c:extLst>
        </c:ser>
        <c:ser>
          <c:idx val="1"/>
          <c:order val="1"/>
          <c:tx>
            <c:strRef>
              <c:f>'Beispiel 2'!$S$33</c:f>
              <c:strCache>
                <c:ptCount val="1"/>
                <c:pt idx="0">
                  <c:v>W2</c:v>
                </c:pt>
              </c:strCache>
            </c:strRef>
          </c:tx>
          <c:spPr>
            <a:ln w="1270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FC35-4907-8807-DC0718C726E2}"/>
                </c:ext>
              </c:extLst>
            </c:dLbl>
            <c:dLbl>
              <c:idx val="1"/>
              <c:delete val="1"/>
              <c:extLst>
                <c:ext xmlns:c15="http://schemas.microsoft.com/office/drawing/2012/chart" uri="{CE6537A1-D6FC-4f65-9D91-7224C49458BB}"/>
                <c:ext xmlns:c16="http://schemas.microsoft.com/office/drawing/2014/chart" uri="{C3380CC4-5D6E-409C-BE32-E72D297353CC}">
                  <c16:uniqueId val="{00000007-FC35-4907-8807-DC0718C726E2}"/>
                </c:ext>
              </c:extLst>
            </c:dLbl>
            <c:dLbl>
              <c:idx val="2"/>
              <c:delete val="1"/>
              <c:extLst>
                <c:ext xmlns:c15="http://schemas.microsoft.com/office/drawing/2012/chart" uri="{CE6537A1-D6FC-4f65-9D91-7224C49458BB}"/>
                <c:ext xmlns:c16="http://schemas.microsoft.com/office/drawing/2014/chart" uri="{C3380CC4-5D6E-409C-BE32-E72D297353CC}">
                  <c16:uniqueId val="{00000008-FC35-4907-8807-DC0718C726E2}"/>
                </c:ext>
              </c:extLst>
            </c:dLbl>
            <c:dLbl>
              <c:idx val="3"/>
              <c:delete val="1"/>
              <c:extLst>
                <c:ext xmlns:c15="http://schemas.microsoft.com/office/drawing/2012/chart" uri="{CE6537A1-D6FC-4f65-9D91-7224C49458BB}"/>
                <c:ext xmlns:c16="http://schemas.microsoft.com/office/drawing/2014/chart" uri="{C3380CC4-5D6E-409C-BE32-E72D297353CC}">
                  <c16:uniqueId val="{00000009-FC35-4907-8807-DC0718C726E2}"/>
                </c:ext>
              </c:extLst>
            </c:dLbl>
            <c:dLbl>
              <c:idx val="4"/>
              <c:delete val="1"/>
              <c:extLst>
                <c:ext xmlns:c15="http://schemas.microsoft.com/office/drawing/2012/chart" uri="{CE6537A1-D6FC-4f65-9D91-7224C49458BB}"/>
                <c:ext xmlns:c16="http://schemas.microsoft.com/office/drawing/2014/chart" uri="{C3380CC4-5D6E-409C-BE32-E72D297353CC}">
                  <c16:uniqueId val="{0000000A-FC35-4907-8807-DC0718C726E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2'!$V$33:$AA$33</c:f>
              <c:numCache>
                <c:formatCode>General</c:formatCode>
                <c:ptCount val="6"/>
                <c:pt idx="0">
                  <c:v>0.21249999999999999</c:v>
                </c:pt>
                <c:pt idx="1">
                  <c:v>0.21249999999999999</c:v>
                </c:pt>
                <c:pt idx="2">
                  <c:v>-0.21249999999999999</c:v>
                </c:pt>
                <c:pt idx="3">
                  <c:v>-0.21249999999999999</c:v>
                </c:pt>
                <c:pt idx="4">
                  <c:v>0.21249999999999999</c:v>
                </c:pt>
                <c:pt idx="5">
                  <c:v>0.21249999999999999</c:v>
                </c:pt>
              </c:numCache>
            </c:numRef>
          </c:xVal>
          <c:yVal>
            <c:numRef>
              <c:f>'Beispiel 2'!$V$34:$AA$34</c:f>
              <c:numCache>
                <c:formatCode>General</c:formatCode>
                <c:ptCount val="6"/>
                <c:pt idx="0">
                  <c:v>2.7</c:v>
                </c:pt>
                <c:pt idx="1">
                  <c:v>5.3450000000000006</c:v>
                </c:pt>
                <c:pt idx="2">
                  <c:v>5.3450000000000006</c:v>
                </c:pt>
                <c:pt idx="3">
                  <c:v>2.7</c:v>
                </c:pt>
                <c:pt idx="4">
                  <c:v>2.7</c:v>
                </c:pt>
                <c:pt idx="5">
                  <c:v>4.0225</c:v>
                </c:pt>
              </c:numCache>
            </c:numRef>
          </c:yVal>
          <c:smooth val="0"/>
          <c:extLst>
            <c:ext xmlns:c16="http://schemas.microsoft.com/office/drawing/2014/chart" uri="{C3380CC4-5D6E-409C-BE32-E72D297353CC}">
              <c16:uniqueId val="{0000000B-FC35-4907-8807-DC0718C726E2}"/>
            </c:ext>
          </c:extLst>
        </c:ser>
        <c:ser>
          <c:idx val="2"/>
          <c:order val="2"/>
          <c:tx>
            <c:strRef>
              <c:f>'Beispiel 2'!$S$35</c:f>
              <c:strCache>
                <c:ptCount val="1"/>
                <c:pt idx="0">
                  <c:v>W3</c:v>
                </c:pt>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FC35-4907-8807-DC0718C726E2}"/>
                </c:ext>
              </c:extLst>
            </c:dLbl>
            <c:dLbl>
              <c:idx val="1"/>
              <c:delete val="1"/>
              <c:extLst>
                <c:ext xmlns:c15="http://schemas.microsoft.com/office/drawing/2012/chart" uri="{CE6537A1-D6FC-4f65-9D91-7224C49458BB}"/>
                <c:ext xmlns:c16="http://schemas.microsoft.com/office/drawing/2014/chart" uri="{C3380CC4-5D6E-409C-BE32-E72D297353CC}">
                  <c16:uniqueId val="{0000000D-FC35-4907-8807-DC0718C726E2}"/>
                </c:ext>
              </c:extLst>
            </c:dLbl>
            <c:dLbl>
              <c:idx val="2"/>
              <c:delete val="1"/>
              <c:extLst>
                <c:ext xmlns:c15="http://schemas.microsoft.com/office/drawing/2012/chart" uri="{CE6537A1-D6FC-4f65-9D91-7224C49458BB}"/>
                <c:ext xmlns:c16="http://schemas.microsoft.com/office/drawing/2014/chart" uri="{C3380CC4-5D6E-409C-BE32-E72D297353CC}">
                  <c16:uniqueId val="{0000000E-FC35-4907-8807-DC0718C726E2}"/>
                </c:ext>
              </c:extLst>
            </c:dLbl>
            <c:dLbl>
              <c:idx val="3"/>
              <c:delete val="1"/>
              <c:extLst>
                <c:ext xmlns:c15="http://schemas.microsoft.com/office/drawing/2012/chart" uri="{CE6537A1-D6FC-4f65-9D91-7224C49458BB}"/>
                <c:ext xmlns:c16="http://schemas.microsoft.com/office/drawing/2014/chart" uri="{C3380CC4-5D6E-409C-BE32-E72D297353CC}">
                  <c16:uniqueId val="{0000000F-FC35-4907-8807-DC0718C726E2}"/>
                </c:ext>
              </c:extLst>
            </c:dLbl>
            <c:dLbl>
              <c:idx val="4"/>
              <c:delete val="1"/>
              <c:extLst>
                <c:ext xmlns:c15="http://schemas.microsoft.com/office/drawing/2012/chart" uri="{CE6537A1-D6FC-4f65-9D91-7224C49458BB}"/>
                <c:ext xmlns:c16="http://schemas.microsoft.com/office/drawing/2014/chart" uri="{C3380CC4-5D6E-409C-BE32-E72D297353CC}">
                  <c16:uniqueId val="{00000010-FC35-4907-8807-DC0718C72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2'!$V$35:$AA$35</c:f>
              <c:numCache>
                <c:formatCode>General</c:formatCode>
                <c:ptCount val="6"/>
                <c:pt idx="0">
                  <c:v>0.1825</c:v>
                </c:pt>
                <c:pt idx="1">
                  <c:v>0.1825</c:v>
                </c:pt>
                <c:pt idx="2">
                  <c:v>-0.1825</c:v>
                </c:pt>
                <c:pt idx="3">
                  <c:v>-0.1825</c:v>
                </c:pt>
                <c:pt idx="4">
                  <c:v>0.1825</c:v>
                </c:pt>
                <c:pt idx="5">
                  <c:v>0.1825</c:v>
                </c:pt>
              </c:numCache>
            </c:numRef>
          </c:xVal>
          <c:yVal>
            <c:numRef>
              <c:f>'Beispiel 2'!$V$36:$AA$36</c:f>
              <c:numCache>
                <c:formatCode>General</c:formatCode>
                <c:ptCount val="6"/>
                <c:pt idx="0">
                  <c:v>5.5450000000000008</c:v>
                </c:pt>
                <c:pt idx="1">
                  <c:v>8.1900000000000013</c:v>
                </c:pt>
                <c:pt idx="2">
                  <c:v>8.1900000000000013</c:v>
                </c:pt>
                <c:pt idx="3">
                  <c:v>5.5450000000000008</c:v>
                </c:pt>
                <c:pt idx="4">
                  <c:v>5.5450000000000008</c:v>
                </c:pt>
                <c:pt idx="5">
                  <c:v>6.8675000000000006</c:v>
                </c:pt>
              </c:numCache>
            </c:numRef>
          </c:yVal>
          <c:smooth val="0"/>
          <c:extLst>
            <c:ext xmlns:c16="http://schemas.microsoft.com/office/drawing/2014/chart" uri="{C3380CC4-5D6E-409C-BE32-E72D297353CC}">
              <c16:uniqueId val="{00000011-FC35-4907-8807-DC0718C726E2}"/>
            </c:ext>
          </c:extLst>
        </c:ser>
        <c:ser>
          <c:idx val="3"/>
          <c:order val="3"/>
          <c:tx>
            <c:strRef>
              <c:f>'Beispiel 2'!$S$38</c:f>
              <c:strCache>
                <c:ptCount val="1"/>
                <c:pt idx="0">
                  <c:v>D1</c:v>
                </c:pt>
              </c:strCache>
            </c:strRef>
          </c:tx>
          <c:spPr>
            <a:ln w="12700" cap="rnd">
              <a:solidFill>
                <a:schemeClr val="tx1"/>
              </a:solidFill>
              <a:round/>
            </a:ln>
            <a:effectLst/>
          </c:spPr>
          <c:marker>
            <c:symbol val="none"/>
          </c:marker>
          <c:dPt>
            <c:idx val="1"/>
            <c:bubble3D val="0"/>
            <c:extLst>
              <c:ext xmlns:c16="http://schemas.microsoft.com/office/drawing/2014/chart" uri="{C3380CC4-5D6E-409C-BE32-E72D297353CC}">
                <c16:uniqueId val="{00000012-FC35-4907-8807-DC0718C726E2}"/>
              </c:ext>
            </c:extLst>
          </c:dPt>
          <c:dLbls>
            <c:dLbl>
              <c:idx val="2"/>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FC35-4907-8807-DC0718C726E2}"/>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'Beispiel 2'!$V$38:$AA$38</c:f>
              <c:numCache>
                <c:formatCode>General</c:formatCode>
                <c:ptCount val="6"/>
                <c:pt idx="0">
                  <c:v>-3.2500000000000001E-2</c:v>
                </c:pt>
                <c:pt idx="1">
                  <c:v>-3.2500000000000001E-2</c:v>
                </c:pt>
                <c:pt idx="2">
                  <c:v>5.7125000000000004</c:v>
                </c:pt>
                <c:pt idx="3">
                  <c:v>5.7125000000000004</c:v>
                </c:pt>
                <c:pt idx="4">
                  <c:v>2.9624999999999999</c:v>
                </c:pt>
                <c:pt idx="5">
                  <c:v>-3.2500000000000001E-2</c:v>
                </c:pt>
              </c:numCache>
            </c:numRef>
          </c:xVal>
          <c:yVal>
            <c:numRef>
              <c:f>'Beispiel 2'!$V$39:$AA$39</c:f>
              <c:numCache>
                <c:formatCode>General</c:formatCode>
                <c:ptCount val="6"/>
                <c:pt idx="0">
                  <c:v>2.5</c:v>
                </c:pt>
                <c:pt idx="1">
                  <c:v>2.7</c:v>
                </c:pt>
                <c:pt idx="2">
                  <c:v>2.7</c:v>
                </c:pt>
                <c:pt idx="3">
                  <c:v>2.5</c:v>
                </c:pt>
                <c:pt idx="4">
                  <c:v>2.5</c:v>
                </c:pt>
                <c:pt idx="5">
                  <c:v>2.5</c:v>
                </c:pt>
              </c:numCache>
            </c:numRef>
          </c:yVal>
          <c:smooth val="0"/>
          <c:extLst>
            <c:ext xmlns:c16="http://schemas.microsoft.com/office/drawing/2014/chart" uri="{C3380CC4-5D6E-409C-BE32-E72D297353CC}">
              <c16:uniqueId val="{00000014-FC35-4907-8807-DC0718C726E2}"/>
            </c:ext>
          </c:extLst>
        </c:ser>
        <c:ser>
          <c:idx val="4"/>
          <c:order val="4"/>
          <c:tx>
            <c:strRef>
              <c:f>'Beispiel 2'!$S$40</c:f>
              <c:strCache>
                <c:ptCount val="1"/>
                <c:pt idx="0">
                  <c:v>D2</c:v>
                </c:pt>
              </c:strCache>
            </c:strRef>
          </c:tx>
          <c:spPr>
            <a:ln w="12700" cap="rnd">
              <a:solidFill>
                <a:schemeClr val="tx1"/>
              </a:solidFill>
              <a:round/>
            </a:ln>
            <a:effectLst/>
          </c:spPr>
          <c:marker>
            <c:symbol val="none"/>
          </c:marker>
          <c:dPt>
            <c:idx val="1"/>
            <c:bubble3D val="0"/>
            <c:extLst>
              <c:ext xmlns:c16="http://schemas.microsoft.com/office/drawing/2014/chart" uri="{C3380CC4-5D6E-409C-BE32-E72D297353CC}">
                <c16:uniqueId val="{00000015-FC35-4907-8807-DC0718C726E2}"/>
              </c:ext>
            </c:extLst>
          </c:dPt>
          <c:dLbls>
            <c:dLbl>
              <c:idx val="2"/>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6-FC35-4907-8807-DC0718C726E2}"/>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'Beispiel 2'!$V$40:$AA$40</c:f>
              <c:numCache>
                <c:formatCode>General</c:formatCode>
                <c:ptCount val="6"/>
                <c:pt idx="0">
                  <c:v>-3.2500000000000001E-2</c:v>
                </c:pt>
                <c:pt idx="1">
                  <c:v>-3.2500000000000001E-2</c:v>
                </c:pt>
                <c:pt idx="2">
                  <c:v>5.7125000000000004</c:v>
                </c:pt>
                <c:pt idx="3">
                  <c:v>5.7125000000000004</c:v>
                </c:pt>
                <c:pt idx="4">
                  <c:v>2.9624999999999999</c:v>
                </c:pt>
                <c:pt idx="5">
                  <c:v>-3.2500000000000001E-2</c:v>
                </c:pt>
              </c:numCache>
            </c:numRef>
          </c:xVal>
          <c:yVal>
            <c:numRef>
              <c:f>'Beispiel 2'!$V$41:$AA$41</c:f>
              <c:numCache>
                <c:formatCode>General</c:formatCode>
                <c:ptCount val="6"/>
                <c:pt idx="0">
                  <c:v>5.5450000000000008</c:v>
                </c:pt>
                <c:pt idx="1">
                  <c:v>5.5450000000000008</c:v>
                </c:pt>
                <c:pt idx="2">
                  <c:v>5.5450000000000008</c:v>
                </c:pt>
                <c:pt idx="3">
                  <c:v>5.3450000000000006</c:v>
                </c:pt>
                <c:pt idx="4">
                  <c:v>5.3450000000000006</c:v>
                </c:pt>
                <c:pt idx="5">
                  <c:v>5.3450000000000006</c:v>
                </c:pt>
              </c:numCache>
            </c:numRef>
          </c:yVal>
          <c:smooth val="0"/>
          <c:extLst>
            <c:ext xmlns:c16="http://schemas.microsoft.com/office/drawing/2014/chart" uri="{C3380CC4-5D6E-409C-BE32-E72D297353CC}">
              <c16:uniqueId val="{00000017-FC35-4907-8807-DC0718C726E2}"/>
            </c:ext>
          </c:extLst>
        </c:ser>
        <c:ser>
          <c:idx val="5"/>
          <c:order val="5"/>
          <c:tx>
            <c:strRef>
              <c:f>'Beispiel 2'!$S$42</c:f>
              <c:strCache>
                <c:ptCount val="1"/>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8-FC35-4907-8807-DC0718C726E2}"/>
                </c:ext>
              </c:extLst>
            </c:dLbl>
            <c:dLbl>
              <c:idx val="1"/>
              <c:delete val="1"/>
              <c:extLst>
                <c:ext xmlns:c15="http://schemas.microsoft.com/office/drawing/2012/chart" uri="{CE6537A1-D6FC-4f65-9D91-7224C49458BB}"/>
                <c:ext xmlns:c16="http://schemas.microsoft.com/office/drawing/2014/chart" uri="{C3380CC4-5D6E-409C-BE32-E72D297353CC}">
                  <c16:uniqueId val="{00000019-FC35-4907-8807-DC0718C726E2}"/>
                </c:ext>
              </c:extLst>
            </c:dLbl>
            <c:dLbl>
              <c:idx val="3"/>
              <c:delete val="1"/>
              <c:extLst>
                <c:ext xmlns:c15="http://schemas.microsoft.com/office/drawing/2012/chart" uri="{CE6537A1-D6FC-4f65-9D91-7224C49458BB}"/>
                <c:ext xmlns:c16="http://schemas.microsoft.com/office/drawing/2014/chart" uri="{C3380CC4-5D6E-409C-BE32-E72D297353CC}">
                  <c16:uniqueId val="{0000001A-FC35-4907-8807-DC0718C726E2}"/>
                </c:ext>
              </c:extLst>
            </c:dLbl>
            <c:dLbl>
              <c:idx val="4"/>
              <c:delete val="1"/>
              <c:extLst>
                <c:ext xmlns:c15="http://schemas.microsoft.com/office/drawing/2012/chart" uri="{CE6537A1-D6FC-4f65-9D91-7224C49458BB}"/>
                <c:ext xmlns:c16="http://schemas.microsoft.com/office/drawing/2014/chart" uri="{C3380CC4-5D6E-409C-BE32-E72D297353CC}">
                  <c16:uniqueId val="{0000001B-FC35-4907-8807-DC0718C726E2}"/>
                </c:ext>
              </c:extLst>
            </c:dLbl>
            <c:dLbl>
              <c:idx val="5"/>
              <c:delete val="1"/>
              <c:extLst>
                <c:ext xmlns:c15="http://schemas.microsoft.com/office/drawing/2012/chart" uri="{CE6537A1-D6FC-4f65-9D91-7224C49458BB}"/>
                <c:ext xmlns:c16="http://schemas.microsoft.com/office/drawing/2014/chart" uri="{C3380CC4-5D6E-409C-BE32-E72D297353CC}">
                  <c16:uniqueId val="{0000001C-FC35-4907-8807-DC0718C726E2}"/>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2'!$V$42:$AA$42</c:f>
              <c:numCache>
                <c:formatCode>General</c:formatCode>
                <c:ptCount val="6"/>
                <c:pt idx="0">
                  <c:v>0</c:v>
                </c:pt>
                <c:pt idx="1">
                  <c:v>0</c:v>
                </c:pt>
                <c:pt idx="2">
                  <c:v>0</c:v>
                </c:pt>
                <c:pt idx="3">
                  <c:v>0</c:v>
                </c:pt>
                <c:pt idx="4">
                  <c:v>0</c:v>
                </c:pt>
                <c:pt idx="5">
                  <c:v>0</c:v>
                </c:pt>
              </c:numCache>
            </c:numRef>
          </c:xVal>
          <c:yVal>
            <c:numRef>
              <c:f>'Beispiel 2'!$V$43:$AA$43</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1D-FC35-4907-8807-DC0718C726E2}"/>
            </c:ext>
          </c:extLst>
        </c:ser>
        <c:ser>
          <c:idx val="6"/>
          <c:order val="6"/>
          <c:tx>
            <c:strRef>
              <c:f>'Beispiel 2'!$S$44</c:f>
              <c:strCache>
                <c:ptCount val="1"/>
                <c:pt idx="0">
                  <c:v>D4</c:v>
                </c:pt>
              </c:strCache>
            </c:strRef>
          </c:tx>
          <c:spPr>
            <a:ln w="12700" cap="rnd">
              <a:solidFill>
                <a:schemeClr val="tx1"/>
              </a:solidFill>
              <a:round/>
            </a:ln>
            <a:effectLst/>
          </c:spPr>
          <c:marker>
            <c:symbol val="none"/>
          </c:marker>
          <c:dLbls>
            <c:dLbl>
              <c:idx val="2"/>
              <c:dLblPos val="l"/>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E-FC35-4907-8807-DC0718C726E2}"/>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'Beispiel 2'!$V$44:$AA$44</c:f>
              <c:numCache>
                <c:formatCode>General</c:formatCode>
                <c:ptCount val="6"/>
                <c:pt idx="0">
                  <c:v>-3.2500000000000001E-2</c:v>
                </c:pt>
                <c:pt idx="1">
                  <c:v>-3.2500000000000001E-2</c:v>
                </c:pt>
                <c:pt idx="2">
                  <c:v>-2.2124999999999999</c:v>
                </c:pt>
                <c:pt idx="3">
                  <c:v>-2.2124999999999999</c:v>
                </c:pt>
                <c:pt idx="4">
                  <c:v>-1.2124999999999999</c:v>
                </c:pt>
                <c:pt idx="5">
                  <c:v>-3.2500000000000001E-2</c:v>
                </c:pt>
              </c:numCache>
            </c:numRef>
          </c:xVal>
          <c:yVal>
            <c:numRef>
              <c:f>'Beispiel 2'!$V$45:$AA$45</c:f>
              <c:numCache>
                <c:formatCode>General</c:formatCode>
                <c:ptCount val="6"/>
                <c:pt idx="0">
                  <c:v>5.5450000000000008</c:v>
                </c:pt>
                <c:pt idx="1">
                  <c:v>5.5450000000000008</c:v>
                </c:pt>
                <c:pt idx="2">
                  <c:v>5.5450000000000008</c:v>
                </c:pt>
                <c:pt idx="3">
                  <c:v>5.3450000000000006</c:v>
                </c:pt>
                <c:pt idx="4">
                  <c:v>5.3450000000000006</c:v>
                </c:pt>
                <c:pt idx="5">
                  <c:v>5.3450000000000006</c:v>
                </c:pt>
              </c:numCache>
            </c:numRef>
          </c:yVal>
          <c:smooth val="0"/>
          <c:extLst>
            <c:ext xmlns:c16="http://schemas.microsoft.com/office/drawing/2014/chart" uri="{C3380CC4-5D6E-409C-BE32-E72D297353CC}">
              <c16:uniqueId val="{0000001F-FC35-4907-8807-DC0718C726E2}"/>
            </c:ext>
          </c:extLst>
        </c:ser>
        <c:ser>
          <c:idx val="11"/>
          <c:order val="7"/>
          <c:tx>
            <c:strRef>
              <c:f>'Beispiel 2'!$T$46</c:f>
              <c:strCache>
                <c:ptCount val="1"/>
                <c:pt idx="0">
                  <c:v>Outline</c:v>
                </c:pt>
              </c:strCache>
            </c:strRef>
          </c:tx>
          <c:spPr>
            <a:ln w="19050" cap="rnd">
              <a:noFill/>
              <a:round/>
            </a:ln>
            <a:effectLst/>
          </c:spPr>
          <c:marker>
            <c:symbol val="none"/>
          </c:marker>
          <c:dLbls>
            <c:delete val="1"/>
          </c:dLbls>
          <c:xVal>
            <c:numRef>
              <c:f>'Beispiel 2'!$V$46:$W$46</c:f>
              <c:numCache>
                <c:formatCode>General</c:formatCode>
                <c:ptCount val="2"/>
                <c:pt idx="0">
                  <c:v>9.0090000000000021</c:v>
                </c:pt>
                <c:pt idx="1">
                  <c:v>-9.0090000000000021</c:v>
                </c:pt>
              </c:numCache>
            </c:numRef>
          </c:xVal>
          <c:yVal>
            <c:numRef>
              <c:f>'Beispiel 2'!$V$47:$W$47</c:f>
              <c:numCache>
                <c:formatCode>General</c:formatCode>
                <c:ptCount val="2"/>
                <c:pt idx="0">
                  <c:v>9.0090000000000021</c:v>
                </c:pt>
                <c:pt idx="1">
                  <c:v>9.0090000000000021</c:v>
                </c:pt>
              </c:numCache>
            </c:numRef>
          </c:yVal>
          <c:smooth val="0"/>
          <c:extLst>
            <c:ext xmlns:c16="http://schemas.microsoft.com/office/drawing/2014/chart" uri="{C3380CC4-5D6E-409C-BE32-E72D297353CC}">
              <c16:uniqueId val="{00000020-FC35-4907-8807-DC0718C726E2}"/>
            </c:ext>
          </c:extLst>
        </c:ser>
        <c:ser>
          <c:idx val="12"/>
          <c:order val="8"/>
          <c:tx>
            <c:strRef>
              <c:f>'Beispiel 2'!$X$51</c:f>
              <c:strCache>
                <c:ptCount val="1"/>
              </c:strCache>
            </c:strRef>
          </c:tx>
          <c:spPr>
            <a:ln w="19050" cap="rnd">
              <a:solidFill>
                <a:schemeClr val="accent1">
                  <a:lumMod val="80000"/>
                  <a:lumOff val="20000"/>
                </a:schemeClr>
              </a:solidFill>
              <a:round/>
            </a:ln>
            <a:effectLst/>
          </c:spPr>
          <c:marker>
            <c:symbol val="none"/>
          </c:marker>
          <c:dPt>
            <c:idx val="1"/>
            <c:bubble3D val="0"/>
            <c:spPr>
              <a:ln w="19050" cap="rnd">
                <a:solidFill>
                  <a:srgbClr val="C00000"/>
                </a:solidFill>
                <a:round/>
                <a:tailEnd type="triangle"/>
              </a:ln>
              <a:effectLst/>
            </c:spPr>
            <c:extLst>
              <c:ext xmlns:c16="http://schemas.microsoft.com/office/drawing/2014/chart" uri="{C3380CC4-5D6E-409C-BE32-E72D297353CC}">
                <c16:uniqueId val="{00000022-FC35-4907-8807-DC0718C726E2}"/>
              </c:ext>
            </c:extLst>
          </c:dPt>
          <c:dLbls>
            <c:dLbl>
              <c:idx val="0"/>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3-FC35-4907-8807-DC0718C726E2}"/>
                </c:ext>
              </c:extLst>
            </c:dLbl>
            <c:dLbl>
              <c:idx val="1"/>
              <c:delete val="1"/>
              <c:extLst>
                <c:ext xmlns:c15="http://schemas.microsoft.com/office/drawing/2012/chart" uri="{CE6537A1-D6FC-4f65-9D91-7224C49458BB}"/>
                <c:ext xmlns:c16="http://schemas.microsoft.com/office/drawing/2014/chart" uri="{C3380CC4-5D6E-409C-BE32-E72D297353CC}">
                  <c16:uniqueId val="{00000022-FC35-4907-8807-DC0718C72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2'!$V$51:$W$51</c:f>
              <c:numCache>
                <c:formatCode>General</c:formatCode>
                <c:ptCount val="2"/>
                <c:pt idx="0">
                  <c:v>0</c:v>
                </c:pt>
                <c:pt idx="1">
                  <c:v>0</c:v>
                </c:pt>
              </c:numCache>
            </c:numRef>
          </c:xVal>
          <c:yVal>
            <c:numRef>
              <c:f>'Beispiel 2'!$V$52:$W$52</c:f>
              <c:numCache>
                <c:formatCode>General</c:formatCode>
                <c:ptCount val="2"/>
                <c:pt idx="0">
                  <c:v>-5</c:v>
                </c:pt>
                <c:pt idx="1">
                  <c:v>-5</c:v>
                </c:pt>
              </c:numCache>
            </c:numRef>
          </c:yVal>
          <c:smooth val="0"/>
          <c:extLst>
            <c:ext xmlns:c16="http://schemas.microsoft.com/office/drawing/2014/chart" uri="{C3380CC4-5D6E-409C-BE32-E72D297353CC}">
              <c16:uniqueId val="{00000024-FC35-4907-8807-DC0718C726E2}"/>
            </c:ext>
          </c:extLst>
        </c:ser>
        <c:ser>
          <c:idx val="13"/>
          <c:order val="9"/>
          <c:tx>
            <c:strRef>
              <c:f>'Beispiel 2'!$X$53</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5-FC35-4907-8807-DC0718C726E2}"/>
                </c:ext>
              </c:extLst>
            </c:dLbl>
            <c:spPr>
              <a:noFill/>
              <a:ln>
                <a:noFill/>
              </a:ln>
              <a:effectLst/>
            </c:spPr>
            <c:txPr>
              <a:bodyPr rot="0" spcFirstLastPara="1" vertOverflow="ellipsis" vert="horz" wrap="square" lIns="38100" tIns="19050" rIns="38100" bIns="19050" anchor="ctr" anchorCtr="0">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2'!$V$53:$W$53</c:f>
              <c:numCache>
                <c:formatCode>General</c:formatCode>
                <c:ptCount val="2"/>
                <c:pt idx="0">
                  <c:v>0</c:v>
                </c:pt>
                <c:pt idx="1">
                  <c:v>0</c:v>
                </c:pt>
              </c:numCache>
            </c:numRef>
          </c:xVal>
          <c:yVal>
            <c:numRef>
              <c:f>'Beispiel 2'!$V$54:$W$54</c:f>
              <c:numCache>
                <c:formatCode>General</c:formatCode>
                <c:ptCount val="2"/>
                <c:pt idx="0">
                  <c:v>-5</c:v>
                </c:pt>
                <c:pt idx="1">
                  <c:v>-5</c:v>
                </c:pt>
              </c:numCache>
            </c:numRef>
          </c:yVal>
          <c:smooth val="0"/>
          <c:extLst>
            <c:ext xmlns:c16="http://schemas.microsoft.com/office/drawing/2014/chart" uri="{C3380CC4-5D6E-409C-BE32-E72D297353CC}">
              <c16:uniqueId val="{00000026-FC35-4907-8807-DC0718C726E2}"/>
            </c:ext>
          </c:extLst>
        </c:ser>
        <c:ser>
          <c:idx val="14"/>
          <c:order val="10"/>
          <c:tx>
            <c:strRef>
              <c:f>'Beispiel 2'!$X$55</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7-FC35-4907-8807-DC0718C72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2'!$V$55:$W$55</c:f>
              <c:numCache>
                <c:formatCode>General</c:formatCode>
                <c:ptCount val="2"/>
                <c:pt idx="0">
                  <c:v>0</c:v>
                </c:pt>
                <c:pt idx="1">
                  <c:v>0</c:v>
                </c:pt>
              </c:numCache>
            </c:numRef>
          </c:xVal>
          <c:yVal>
            <c:numRef>
              <c:f>'Beispiel 2'!$V$56:$W$56</c:f>
              <c:numCache>
                <c:formatCode>General</c:formatCode>
                <c:ptCount val="2"/>
                <c:pt idx="0">
                  <c:v>-5</c:v>
                </c:pt>
                <c:pt idx="1">
                  <c:v>-5</c:v>
                </c:pt>
              </c:numCache>
            </c:numRef>
          </c:yVal>
          <c:smooth val="0"/>
          <c:extLst>
            <c:ext xmlns:c16="http://schemas.microsoft.com/office/drawing/2014/chart" uri="{C3380CC4-5D6E-409C-BE32-E72D297353CC}">
              <c16:uniqueId val="{00000028-FC35-4907-8807-DC0718C726E2}"/>
            </c:ext>
          </c:extLst>
        </c:ser>
        <c:ser>
          <c:idx val="15"/>
          <c:order val="11"/>
          <c:tx>
            <c:strRef>
              <c:f>'Beispiel 2'!$X$57</c:f>
              <c:strCache>
                <c:ptCount val="1"/>
                <c:pt idx="0">
                  <c:v>1,00 kN/m</c:v>
                </c:pt>
              </c:strCache>
            </c:strRef>
          </c:tx>
          <c:spPr>
            <a:ln w="19050" cap="rnd">
              <a:solidFill>
                <a:srgbClr val="C00000"/>
              </a:solidFill>
              <a:round/>
              <a:headEnd type="none"/>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9-FC35-4907-8807-DC0718C72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2'!$V$57:$W$57</c:f>
              <c:numCache>
                <c:formatCode>General</c:formatCode>
                <c:ptCount val="2"/>
                <c:pt idx="0">
                  <c:v>-2</c:v>
                </c:pt>
                <c:pt idx="1">
                  <c:v>-2</c:v>
                </c:pt>
              </c:numCache>
            </c:numRef>
          </c:xVal>
          <c:yVal>
            <c:numRef>
              <c:f>'Beispiel 2'!$V$58:$W$58</c:f>
              <c:numCache>
                <c:formatCode>General</c:formatCode>
                <c:ptCount val="2"/>
                <c:pt idx="0">
                  <c:v>5.5950000000000006</c:v>
                </c:pt>
                <c:pt idx="1">
                  <c:v>5.5450000000000008</c:v>
                </c:pt>
              </c:numCache>
            </c:numRef>
          </c:yVal>
          <c:smooth val="0"/>
          <c:extLst>
            <c:ext xmlns:c16="http://schemas.microsoft.com/office/drawing/2014/chart" uri="{C3380CC4-5D6E-409C-BE32-E72D297353CC}">
              <c16:uniqueId val="{0000002A-FC35-4907-8807-DC0718C726E2}"/>
            </c:ext>
          </c:extLst>
        </c:ser>
        <c:ser>
          <c:idx val="7"/>
          <c:order val="12"/>
          <c:tx>
            <c:v>Bearing Slab 01 Fixed</c:v>
          </c:tx>
          <c:spPr>
            <a:ln w="19050" cap="rnd">
              <a:solidFill>
                <a:schemeClr val="accent2">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2'!$Z$51</c:f>
              <c:numCache>
                <c:formatCode>General</c:formatCode>
                <c:ptCount val="1"/>
                <c:pt idx="0">
                  <c:v>5.7125000000000004</c:v>
                </c:pt>
              </c:numCache>
            </c:numRef>
          </c:xVal>
          <c:yVal>
            <c:numRef>
              <c:f>'Beispiel 2'!$Z$52</c:f>
              <c:numCache>
                <c:formatCode>General</c:formatCode>
                <c:ptCount val="1"/>
                <c:pt idx="0">
                  <c:v>2.5</c:v>
                </c:pt>
              </c:numCache>
            </c:numRef>
          </c:yVal>
          <c:smooth val="0"/>
          <c:extLst>
            <c:ext xmlns:c16="http://schemas.microsoft.com/office/drawing/2014/chart" uri="{C3380CC4-5D6E-409C-BE32-E72D297353CC}">
              <c16:uniqueId val="{0000002B-FC35-4907-8807-DC0718C726E2}"/>
            </c:ext>
          </c:extLst>
        </c:ser>
        <c:ser>
          <c:idx val="8"/>
          <c:order val="13"/>
          <c:tx>
            <c:v>Bearing Slab 01 Hinged</c:v>
          </c:tx>
          <c:spPr>
            <a:ln w="19050" cap="rnd">
              <a:solidFill>
                <a:schemeClr val="accent3">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2'!$AA$51</c:f>
              <c:numCache>
                <c:formatCode>General</c:formatCode>
                <c:ptCount val="1"/>
                <c:pt idx="0">
                  <c:v>5.7125000000000004</c:v>
                </c:pt>
              </c:numCache>
            </c:numRef>
          </c:xVal>
          <c:yVal>
            <c:numRef>
              <c:f>'Beispiel 2'!$AA$52</c:f>
              <c:numCache>
                <c:formatCode>General</c:formatCode>
                <c:ptCount val="1"/>
                <c:pt idx="0">
                  <c:v>-5</c:v>
                </c:pt>
              </c:numCache>
            </c:numRef>
          </c:yVal>
          <c:smooth val="0"/>
          <c:extLst>
            <c:ext xmlns:c16="http://schemas.microsoft.com/office/drawing/2014/chart" uri="{C3380CC4-5D6E-409C-BE32-E72D297353CC}">
              <c16:uniqueId val="{0000002C-FC35-4907-8807-DC0718C726E2}"/>
            </c:ext>
          </c:extLst>
        </c:ser>
        <c:ser>
          <c:idx val="9"/>
          <c:order val="14"/>
          <c:tx>
            <c:v>Bearing Slab 02 Fixed</c:v>
          </c:tx>
          <c:spPr>
            <a:ln w="19050" cap="rnd">
              <a:solidFill>
                <a:schemeClr val="accent4">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2'!$Z$53</c:f>
              <c:numCache>
                <c:formatCode>General</c:formatCode>
                <c:ptCount val="1"/>
                <c:pt idx="0">
                  <c:v>5.7125000000000004</c:v>
                </c:pt>
              </c:numCache>
            </c:numRef>
          </c:xVal>
          <c:yVal>
            <c:numRef>
              <c:f>'Beispiel 2'!$Z$54</c:f>
              <c:numCache>
                <c:formatCode>General</c:formatCode>
                <c:ptCount val="1"/>
                <c:pt idx="0">
                  <c:v>5.3450000000000006</c:v>
                </c:pt>
              </c:numCache>
            </c:numRef>
          </c:yVal>
          <c:smooth val="0"/>
          <c:extLst>
            <c:ext xmlns:c16="http://schemas.microsoft.com/office/drawing/2014/chart" uri="{C3380CC4-5D6E-409C-BE32-E72D297353CC}">
              <c16:uniqueId val="{0000002D-FC35-4907-8807-DC0718C726E2}"/>
            </c:ext>
          </c:extLst>
        </c:ser>
        <c:ser>
          <c:idx val="10"/>
          <c:order val="15"/>
          <c:tx>
            <c:v>Bearing Slab 02 Hinged</c:v>
          </c:tx>
          <c:spPr>
            <a:ln w="19050" cap="rnd">
              <a:solidFill>
                <a:schemeClr val="accent5">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2'!$AA$53</c:f>
              <c:numCache>
                <c:formatCode>General</c:formatCode>
                <c:ptCount val="1"/>
                <c:pt idx="0">
                  <c:v>5.7125000000000004</c:v>
                </c:pt>
              </c:numCache>
            </c:numRef>
          </c:xVal>
          <c:yVal>
            <c:numRef>
              <c:f>'Beispiel 2'!$AA$54</c:f>
              <c:numCache>
                <c:formatCode>General</c:formatCode>
                <c:ptCount val="1"/>
                <c:pt idx="0">
                  <c:v>-5</c:v>
                </c:pt>
              </c:numCache>
            </c:numRef>
          </c:yVal>
          <c:smooth val="0"/>
          <c:extLst>
            <c:ext xmlns:c16="http://schemas.microsoft.com/office/drawing/2014/chart" uri="{C3380CC4-5D6E-409C-BE32-E72D297353CC}">
              <c16:uniqueId val="{0000002E-FC35-4907-8807-DC0718C726E2}"/>
            </c:ext>
          </c:extLst>
        </c:ser>
        <c:ser>
          <c:idx val="16"/>
          <c:order val="16"/>
          <c:tx>
            <c:v>Bearing Slab 03 Fixed</c:v>
          </c:tx>
          <c:spPr>
            <a:ln w="19050" cap="rnd">
              <a:solidFill>
                <a:schemeClr val="accent5">
                  <a:lumMod val="80000"/>
                  <a:lumOff val="2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2'!$Z$55</c:f>
              <c:numCache>
                <c:formatCode>General</c:formatCode>
                <c:ptCount val="1"/>
                <c:pt idx="0">
                  <c:v>0</c:v>
                </c:pt>
              </c:numCache>
            </c:numRef>
          </c:xVal>
          <c:yVal>
            <c:numRef>
              <c:f>'Beispiel 2'!$Z$56</c:f>
              <c:numCache>
                <c:formatCode>General</c:formatCode>
                <c:ptCount val="1"/>
                <c:pt idx="0">
                  <c:v>-5</c:v>
                </c:pt>
              </c:numCache>
            </c:numRef>
          </c:yVal>
          <c:smooth val="0"/>
          <c:extLst>
            <c:ext xmlns:c16="http://schemas.microsoft.com/office/drawing/2014/chart" uri="{C3380CC4-5D6E-409C-BE32-E72D297353CC}">
              <c16:uniqueId val="{0000002F-FC35-4907-8807-DC0718C726E2}"/>
            </c:ext>
          </c:extLst>
        </c:ser>
        <c:ser>
          <c:idx val="17"/>
          <c:order val="17"/>
          <c:tx>
            <c:v>Bearing Slab 03 Hinged</c:v>
          </c:tx>
          <c:spPr>
            <a:ln w="19050" cap="rnd">
              <a:solidFill>
                <a:schemeClr val="accent6">
                  <a:lumMod val="80000"/>
                  <a:lumOff val="2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2'!$AA$55</c:f>
              <c:numCache>
                <c:formatCode>General</c:formatCode>
                <c:ptCount val="1"/>
                <c:pt idx="0">
                  <c:v>0</c:v>
                </c:pt>
              </c:numCache>
            </c:numRef>
          </c:xVal>
          <c:yVal>
            <c:numRef>
              <c:f>'Beispiel 2'!$AA$56</c:f>
              <c:numCache>
                <c:formatCode>General</c:formatCode>
                <c:ptCount val="1"/>
                <c:pt idx="0">
                  <c:v>-5</c:v>
                </c:pt>
              </c:numCache>
            </c:numRef>
          </c:yVal>
          <c:smooth val="0"/>
          <c:extLst>
            <c:ext xmlns:c16="http://schemas.microsoft.com/office/drawing/2014/chart" uri="{C3380CC4-5D6E-409C-BE32-E72D297353CC}">
              <c16:uniqueId val="{00000030-FC35-4907-8807-DC0718C726E2}"/>
            </c:ext>
          </c:extLst>
        </c:ser>
        <c:ser>
          <c:idx val="18"/>
          <c:order val="18"/>
          <c:tx>
            <c:v>Bearing Slab 04 Fixed</c:v>
          </c:tx>
          <c:spPr>
            <a:ln w="19050" cap="rnd">
              <a:solidFill>
                <a:schemeClr val="accent1">
                  <a:lumMod val="8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2'!$Z$57</c:f>
              <c:numCache>
                <c:formatCode>General</c:formatCode>
                <c:ptCount val="1"/>
                <c:pt idx="0">
                  <c:v>-2.2124999999999999</c:v>
                </c:pt>
              </c:numCache>
            </c:numRef>
          </c:xVal>
          <c:yVal>
            <c:numRef>
              <c:f>'Beispiel 2'!$Z$58</c:f>
              <c:numCache>
                <c:formatCode>General</c:formatCode>
                <c:ptCount val="1"/>
                <c:pt idx="0">
                  <c:v>-5</c:v>
                </c:pt>
              </c:numCache>
            </c:numRef>
          </c:yVal>
          <c:smooth val="0"/>
          <c:extLst>
            <c:ext xmlns:c16="http://schemas.microsoft.com/office/drawing/2014/chart" uri="{C3380CC4-5D6E-409C-BE32-E72D297353CC}">
              <c16:uniqueId val="{00000031-FC35-4907-8807-DC0718C726E2}"/>
            </c:ext>
          </c:extLst>
        </c:ser>
        <c:ser>
          <c:idx val="19"/>
          <c:order val="19"/>
          <c:tx>
            <c:v>Bearing Slab 04 Hinged</c:v>
          </c:tx>
          <c:spPr>
            <a:ln w="19050" cap="rnd">
              <a:solidFill>
                <a:schemeClr val="accent2">
                  <a:lumMod val="8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2'!$AA$57</c:f>
              <c:numCache>
                <c:formatCode>General</c:formatCode>
                <c:ptCount val="1"/>
                <c:pt idx="0">
                  <c:v>-2.2124999999999999</c:v>
                </c:pt>
              </c:numCache>
            </c:numRef>
          </c:xVal>
          <c:yVal>
            <c:numRef>
              <c:f>'Beispiel 2'!$AA$58</c:f>
              <c:numCache>
                <c:formatCode>General</c:formatCode>
                <c:ptCount val="1"/>
                <c:pt idx="0">
                  <c:v>-5</c:v>
                </c:pt>
              </c:numCache>
            </c:numRef>
          </c:yVal>
          <c:smooth val="0"/>
          <c:extLst>
            <c:ext xmlns:c16="http://schemas.microsoft.com/office/drawing/2014/chart" uri="{C3380CC4-5D6E-409C-BE32-E72D297353CC}">
              <c16:uniqueId val="{00000032-FC35-4907-8807-DC0718C726E2}"/>
            </c:ext>
          </c:extLst>
        </c:ser>
        <c:dLbls>
          <c:showLegendKey val="0"/>
          <c:showVal val="1"/>
          <c:showCatName val="0"/>
          <c:showSerName val="0"/>
          <c:showPercent val="0"/>
          <c:showBubbleSize val="0"/>
        </c:dLbls>
        <c:axId val="471501400"/>
        <c:axId val="471499832"/>
      </c:scatterChart>
      <c:valAx>
        <c:axId val="471501400"/>
        <c:scaling>
          <c:orientation val="minMax"/>
        </c:scaling>
        <c:delete val="0"/>
        <c:axPos val="b"/>
        <c:majorGridlines>
          <c:spPr>
            <a:ln w="9525" cap="flat" cmpd="sng" algn="ctr">
              <a:noFill/>
              <a:round/>
            </a:ln>
            <a:effectLst/>
          </c:spPr>
        </c:majorGridlines>
        <c:numFmt formatCode="General" sourceLinked="1"/>
        <c:majorTickMark val="none"/>
        <c:minorTickMark val="none"/>
        <c:tickLblPos val="none"/>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499832"/>
        <c:crosses val="autoZero"/>
        <c:crossBetween val="midCat"/>
        <c:majorUnit val="2"/>
      </c:valAx>
      <c:valAx>
        <c:axId val="471499832"/>
        <c:scaling>
          <c:orientation val="minMax"/>
          <c:min val="0"/>
        </c:scaling>
        <c:delete val="1"/>
        <c:axPos val="l"/>
        <c:majorGridlines>
          <c:spPr>
            <a:ln w="9525" cap="flat" cmpd="sng" algn="ctr">
              <a:noFill/>
              <a:round/>
            </a:ln>
            <a:effectLst/>
          </c:spPr>
        </c:majorGridlines>
        <c:numFmt formatCode="General" sourceLinked="1"/>
        <c:majorTickMark val="out"/>
        <c:minorTickMark val="none"/>
        <c:tickLblPos val="nextTo"/>
        <c:crossAx val="471501400"/>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374567901234571"/>
        </c:manualLayout>
      </c:layout>
      <c:scatterChart>
        <c:scatterStyle val="lineMarker"/>
        <c:varyColors val="0"/>
        <c:ser>
          <c:idx val="0"/>
          <c:order val="0"/>
          <c:tx>
            <c:strRef>
              <c:f>'Beispiel 2'!$T$31</c:f>
              <c:strCache>
                <c:ptCount val="1"/>
                <c:pt idx="0">
                  <c:v>Wand 1</c:v>
                </c:pt>
              </c:strCache>
            </c:strRef>
          </c:tx>
          <c:spPr>
            <a:ln w="12700" cap="rnd">
              <a:solidFill>
                <a:schemeClr val="tx1"/>
              </a:solidFill>
              <a:round/>
            </a:ln>
            <a:effectLst/>
          </c:spPr>
          <c:marker>
            <c:symbol val="none"/>
          </c:marker>
          <c:xVal>
            <c:numRef>
              <c:f>'Beispiel 2'!$AE$31:$AJ$31</c:f>
              <c:numCache>
                <c:formatCode>General</c:formatCode>
                <c:ptCount val="6"/>
                <c:pt idx="0">
                  <c:v>1.6</c:v>
                </c:pt>
                <c:pt idx="1">
                  <c:v>1.6</c:v>
                </c:pt>
                <c:pt idx="2">
                  <c:v>-1.6</c:v>
                </c:pt>
                <c:pt idx="3">
                  <c:v>-1.6</c:v>
                </c:pt>
                <c:pt idx="4">
                  <c:v>1.6</c:v>
                </c:pt>
                <c:pt idx="5">
                  <c:v>1.6</c:v>
                </c:pt>
              </c:numCache>
            </c:numRef>
          </c:xVal>
          <c:yVal>
            <c:numRef>
              <c:f>'Beispiel 2'!$V$32:$AA$32</c:f>
              <c:numCache>
                <c:formatCode>General</c:formatCode>
                <c:ptCount val="6"/>
                <c:pt idx="0">
                  <c:v>0</c:v>
                </c:pt>
                <c:pt idx="1">
                  <c:v>2.5</c:v>
                </c:pt>
                <c:pt idx="2">
                  <c:v>2.5</c:v>
                </c:pt>
                <c:pt idx="3">
                  <c:v>0</c:v>
                </c:pt>
                <c:pt idx="4">
                  <c:v>0</c:v>
                </c:pt>
                <c:pt idx="5">
                  <c:v>1.25</c:v>
                </c:pt>
              </c:numCache>
            </c:numRef>
          </c:yVal>
          <c:smooth val="0"/>
          <c:extLst>
            <c:ext xmlns:c16="http://schemas.microsoft.com/office/drawing/2014/chart" uri="{C3380CC4-5D6E-409C-BE32-E72D297353CC}">
              <c16:uniqueId val="{00000000-56DB-4DD4-BE4A-D374C9636CD2}"/>
            </c:ext>
          </c:extLst>
        </c:ser>
        <c:ser>
          <c:idx val="1"/>
          <c:order val="1"/>
          <c:tx>
            <c:strRef>
              <c:f>'Beispiel 2'!$T$33</c:f>
              <c:strCache>
                <c:ptCount val="1"/>
                <c:pt idx="0">
                  <c:v>Wand 2</c:v>
                </c:pt>
              </c:strCache>
            </c:strRef>
          </c:tx>
          <c:spPr>
            <a:ln w="12700" cap="rnd">
              <a:solidFill>
                <a:srgbClr val="B30000"/>
              </a:solidFill>
              <a:round/>
            </a:ln>
            <a:effectLst/>
          </c:spPr>
          <c:marker>
            <c:symbol val="none"/>
          </c:marker>
          <c:xVal>
            <c:numRef>
              <c:f>'Beispiel 2'!$AE$33:$AJ$33</c:f>
              <c:numCache>
                <c:formatCode>General</c:formatCode>
                <c:ptCount val="6"/>
                <c:pt idx="0">
                  <c:v>1</c:v>
                </c:pt>
                <c:pt idx="1">
                  <c:v>1</c:v>
                </c:pt>
                <c:pt idx="2">
                  <c:v>-1</c:v>
                </c:pt>
                <c:pt idx="3">
                  <c:v>-1</c:v>
                </c:pt>
                <c:pt idx="4">
                  <c:v>1</c:v>
                </c:pt>
                <c:pt idx="5">
                  <c:v>1</c:v>
                </c:pt>
              </c:numCache>
            </c:numRef>
          </c:xVal>
          <c:yVal>
            <c:numRef>
              <c:f>'Beispiel 2'!$V$34:$AA$34</c:f>
              <c:numCache>
                <c:formatCode>General</c:formatCode>
                <c:ptCount val="6"/>
                <c:pt idx="0">
                  <c:v>2.7</c:v>
                </c:pt>
                <c:pt idx="1">
                  <c:v>5.3450000000000006</c:v>
                </c:pt>
                <c:pt idx="2">
                  <c:v>5.3450000000000006</c:v>
                </c:pt>
                <c:pt idx="3">
                  <c:v>2.7</c:v>
                </c:pt>
                <c:pt idx="4">
                  <c:v>2.7</c:v>
                </c:pt>
                <c:pt idx="5">
                  <c:v>4.0225</c:v>
                </c:pt>
              </c:numCache>
            </c:numRef>
          </c:yVal>
          <c:smooth val="0"/>
          <c:extLst>
            <c:ext xmlns:c16="http://schemas.microsoft.com/office/drawing/2014/chart" uri="{C3380CC4-5D6E-409C-BE32-E72D297353CC}">
              <c16:uniqueId val="{00000001-56DB-4DD4-BE4A-D374C9636CD2}"/>
            </c:ext>
          </c:extLst>
        </c:ser>
        <c:ser>
          <c:idx val="2"/>
          <c:order val="2"/>
          <c:tx>
            <c:strRef>
              <c:f>'Beispiel 2'!$T$35</c:f>
              <c:strCache>
                <c:ptCount val="1"/>
                <c:pt idx="0">
                  <c:v>Wand 3</c:v>
                </c:pt>
              </c:strCache>
            </c:strRef>
          </c:tx>
          <c:spPr>
            <a:ln w="12700" cap="rnd">
              <a:solidFill>
                <a:schemeClr val="tx1"/>
              </a:solidFill>
              <a:round/>
            </a:ln>
            <a:effectLst/>
          </c:spPr>
          <c:marker>
            <c:symbol val="none"/>
          </c:marker>
          <c:dPt>
            <c:idx val="2"/>
            <c:marker>
              <c:symbol val="none"/>
            </c:marker>
            <c:bubble3D val="0"/>
            <c:extLst>
              <c:ext xmlns:c16="http://schemas.microsoft.com/office/drawing/2014/chart" uri="{C3380CC4-5D6E-409C-BE32-E72D297353CC}">
                <c16:uniqueId val="{00000002-56DB-4DD4-BE4A-D374C9636CD2}"/>
              </c:ext>
            </c:extLst>
          </c:dPt>
          <c:xVal>
            <c:numRef>
              <c:f>'Beispiel 2'!$AE$35:$AJ$35</c:f>
              <c:numCache>
                <c:formatCode>General</c:formatCode>
                <c:ptCount val="6"/>
                <c:pt idx="0">
                  <c:v>1</c:v>
                </c:pt>
                <c:pt idx="1">
                  <c:v>1</c:v>
                </c:pt>
                <c:pt idx="2">
                  <c:v>-1</c:v>
                </c:pt>
                <c:pt idx="3">
                  <c:v>-1</c:v>
                </c:pt>
                <c:pt idx="4">
                  <c:v>1</c:v>
                </c:pt>
                <c:pt idx="5">
                  <c:v>1</c:v>
                </c:pt>
              </c:numCache>
            </c:numRef>
          </c:xVal>
          <c:yVal>
            <c:numRef>
              <c:f>'Beispiel 2'!$V$36:$AA$36</c:f>
              <c:numCache>
                <c:formatCode>General</c:formatCode>
                <c:ptCount val="6"/>
                <c:pt idx="0">
                  <c:v>5.5450000000000008</c:v>
                </c:pt>
                <c:pt idx="1">
                  <c:v>8.1900000000000013</c:v>
                </c:pt>
                <c:pt idx="2">
                  <c:v>8.1900000000000013</c:v>
                </c:pt>
                <c:pt idx="3">
                  <c:v>5.5450000000000008</c:v>
                </c:pt>
                <c:pt idx="4">
                  <c:v>5.5450000000000008</c:v>
                </c:pt>
                <c:pt idx="5">
                  <c:v>6.8675000000000006</c:v>
                </c:pt>
              </c:numCache>
            </c:numRef>
          </c:yVal>
          <c:smooth val="0"/>
          <c:extLst>
            <c:ext xmlns:c16="http://schemas.microsoft.com/office/drawing/2014/chart" uri="{C3380CC4-5D6E-409C-BE32-E72D297353CC}">
              <c16:uniqueId val="{00000003-56DB-4DD4-BE4A-D374C9636CD2}"/>
            </c:ext>
          </c:extLst>
        </c:ser>
        <c:ser>
          <c:idx val="3"/>
          <c:order val="3"/>
          <c:tx>
            <c:strRef>
              <c:f>'Beispiel 2'!$T$38</c:f>
              <c:strCache>
                <c:ptCount val="1"/>
                <c:pt idx="0">
                  <c:v>Decke 1</c:v>
                </c:pt>
              </c:strCache>
            </c:strRef>
          </c:tx>
          <c:spPr>
            <a:ln w="12700" cap="rnd">
              <a:solidFill>
                <a:schemeClr val="tx1"/>
              </a:solidFill>
              <a:round/>
            </a:ln>
            <a:effectLst/>
          </c:spPr>
          <c:marker>
            <c:symbol val="none"/>
          </c:marker>
          <c:xVal>
            <c:numRef>
              <c:f>'Beispiel 2'!$AE$38:$AJ$38</c:f>
              <c:numCache>
                <c:formatCode>General</c:formatCode>
                <c:ptCount val="6"/>
                <c:pt idx="0">
                  <c:v>-1.6</c:v>
                </c:pt>
                <c:pt idx="1">
                  <c:v>1.6</c:v>
                </c:pt>
                <c:pt idx="2">
                  <c:v>1.6</c:v>
                </c:pt>
                <c:pt idx="3">
                  <c:v>-1.6</c:v>
                </c:pt>
                <c:pt idx="4">
                  <c:v>-1.6</c:v>
                </c:pt>
                <c:pt idx="5">
                  <c:v>0.8</c:v>
                </c:pt>
              </c:numCache>
            </c:numRef>
          </c:xVal>
          <c:yVal>
            <c:numRef>
              <c:f>'Beispiel 2'!$AE$39:$AJ$39</c:f>
              <c:numCache>
                <c:formatCode>General</c:formatCode>
                <c:ptCount val="6"/>
                <c:pt idx="0">
                  <c:v>2.5</c:v>
                </c:pt>
                <c:pt idx="1">
                  <c:v>2.5</c:v>
                </c:pt>
                <c:pt idx="2">
                  <c:v>2.7</c:v>
                </c:pt>
                <c:pt idx="3">
                  <c:v>2.7</c:v>
                </c:pt>
                <c:pt idx="4">
                  <c:v>2.5</c:v>
                </c:pt>
                <c:pt idx="5">
                  <c:v>2.5</c:v>
                </c:pt>
              </c:numCache>
            </c:numRef>
          </c:yVal>
          <c:smooth val="0"/>
          <c:extLst>
            <c:ext xmlns:c16="http://schemas.microsoft.com/office/drawing/2014/chart" uri="{C3380CC4-5D6E-409C-BE32-E72D297353CC}">
              <c16:uniqueId val="{00000004-56DB-4DD4-BE4A-D374C9636CD2}"/>
            </c:ext>
          </c:extLst>
        </c:ser>
        <c:ser>
          <c:idx val="4"/>
          <c:order val="4"/>
          <c:tx>
            <c:strRef>
              <c:f>'Beispiel 2'!$T$40</c:f>
              <c:strCache>
                <c:ptCount val="1"/>
                <c:pt idx="0">
                  <c:v>Decke 2</c:v>
                </c:pt>
              </c:strCache>
            </c:strRef>
          </c:tx>
          <c:spPr>
            <a:ln w="12700" cap="rnd">
              <a:solidFill>
                <a:schemeClr val="tx1"/>
              </a:solidFill>
              <a:round/>
            </a:ln>
            <a:effectLst/>
          </c:spPr>
          <c:marker>
            <c:symbol val="none"/>
          </c:marker>
          <c:xVal>
            <c:numRef>
              <c:f>'Beispiel 2'!$AE$40:$AJ$40</c:f>
              <c:numCache>
                <c:formatCode>General</c:formatCode>
                <c:ptCount val="6"/>
                <c:pt idx="0">
                  <c:v>-1.6</c:v>
                </c:pt>
                <c:pt idx="1">
                  <c:v>1.6</c:v>
                </c:pt>
                <c:pt idx="2">
                  <c:v>1.6</c:v>
                </c:pt>
                <c:pt idx="3">
                  <c:v>-1.6</c:v>
                </c:pt>
                <c:pt idx="4">
                  <c:v>-1.6</c:v>
                </c:pt>
                <c:pt idx="5">
                  <c:v>0.5</c:v>
                </c:pt>
              </c:numCache>
            </c:numRef>
          </c:xVal>
          <c:yVal>
            <c:numRef>
              <c:f>'Beispiel 2'!$AE$41:$AJ$41</c:f>
              <c:numCache>
                <c:formatCode>General</c:formatCode>
                <c:ptCount val="6"/>
                <c:pt idx="0">
                  <c:v>5.3450000000000006</c:v>
                </c:pt>
                <c:pt idx="1">
                  <c:v>5.3450000000000006</c:v>
                </c:pt>
                <c:pt idx="2">
                  <c:v>5.5450000000000008</c:v>
                </c:pt>
                <c:pt idx="3">
                  <c:v>5.5450000000000008</c:v>
                </c:pt>
                <c:pt idx="4">
                  <c:v>5.3450000000000006</c:v>
                </c:pt>
                <c:pt idx="5">
                  <c:v>5.3450000000000006</c:v>
                </c:pt>
              </c:numCache>
            </c:numRef>
          </c:yVal>
          <c:smooth val="0"/>
          <c:extLst>
            <c:ext xmlns:c16="http://schemas.microsoft.com/office/drawing/2014/chart" uri="{C3380CC4-5D6E-409C-BE32-E72D297353CC}">
              <c16:uniqueId val="{00000005-56DB-4DD4-BE4A-D374C9636CD2}"/>
            </c:ext>
          </c:extLst>
        </c:ser>
        <c:ser>
          <c:idx val="11"/>
          <c:order val="5"/>
          <c:tx>
            <c:strRef>
              <c:f>'Beispiel 2'!$T$46</c:f>
              <c:strCache>
                <c:ptCount val="1"/>
                <c:pt idx="0">
                  <c:v>Outline</c:v>
                </c:pt>
              </c:strCache>
            </c:strRef>
          </c:tx>
          <c:spPr>
            <a:ln w="19050" cap="rnd">
              <a:noFill/>
              <a:round/>
            </a:ln>
            <a:effectLst/>
          </c:spPr>
          <c:marker>
            <c:symbol val="none"/>
          </c:marker>
          <c:xVal>
            <c:numRef>
              <c:f>'Beispiel 2'!$AE$46:$AF$46</c:f>
              <c:numCache>
                <c:formatCode>General</c:formatCode>
                <c:ptCount val="2"/>
                <c:pt idx="0">
                  <c:v>9.0090000000000021</c:v>
                </c:pt>
                <c:pt idx="1">
                  <c:v>-9.0090000000000021</c:v>
                </c:pt>
              </c:numCache>
            </c:numRef>
          </c:xVal>
          <c:yVal>
            <c:numRef>
              <c:f>'Beispiel 2'!$AE$47:$AF$47</c:f>
              <c:numCache>
                <c:formatCode>General</c:formatCode>
                <c:ptCount val="2"/>
                <c:pt idx="0">
                  <c:v>9.0090000000000021</c:v>
                </c:pt>
                <c:pt idx="1">
                  <c:v>9.0090000000000021</c:v>
                </c:pt>
              </c:numCache>
            </c:numRef>
          </c:yVal>
          <c:smooth val="0"/>
          <c:extLst>
            <c:ext xmlns:c16="http://schemas.microsoft.com/office/drawing/2014/chart" uri="{C3380CC4-5D6E-409C-BE32-E72D297353CC}">
              <c16:uniqueId val="{00000006-56DB-4DD4-BE4A-D374C9636CD2}"/>
            </c:ext>
          </c:extLst>
        </c:ser>
        <c:ser>
          <c:idx val="5"/>
          <c:order val="6"/>
          <c:tx>
            <c:strRef>
              <c:f>'Beispiel 2'!$AD$50</c:f>
              <c:strCache>
                <c:ptCount val="1"/>
                <c:pt idx="0">
                  <c:v>Fixed edges</c:v>
                </c:pt>
              </c:strCache>
            </c:strRef>
          </c:tx>
          <c:spPr>
            <a:ln w="22225" cap="rnd">
              <a:solidFill>
                <a:srgbClr val="C00000"/>
              </a:solidFill>
              <a:prstDash val="sysDash"/>
              <a:round/>
            </a:ln>
            <a:effectLst/>
          </c:spPr>
          <c:marker>
            <c:symbol val="none"/>
          </c:marker>
          <c:xVal>
            <c:numRef>
              <c:f>'Beispiel 2'!$AE$51:$AF$51</c:f>
              <c:numCache>
                <c:formatCode>General</c:formatCode>
                <c:ptCount val="2"/>
                <c:pt idx="0">
                  <c:v>0</c:v>
                </c:pt>
                <c:pt idx="1">
                  <c:v>0</c:v>
                </c:pt>
              </c:numCache>
            </c:numRef>
          </c:xVal>
          <c:yVal>
            <c:numRef>
              <c:f>'Beispiel 2'!$AE$52:$AF$52</c:f>
              <c:numCache>
                <c:formatCode>General</c:formatCode>
                <c:ptCount val="2"/>
                <c:pt idx="0">
                  <c:v>0</c:v>
                </c:pt>
                <c:pt idx="1">
                  <c:v>0</c:v>
                </c:pt>
              </c:numCache>
            </c:numRef>
          </c:yVal>
          <c:smooth val="0"/>
          <c:extLst>
            <c:ext xmlns:c16="http://schemas.microsoft.com/office/drawing/2014/chart" uri="{C3380CC4-5D6E-409C-BE32-E72D297353CC}">
              <c16:uniqueId val="{00000007-56DB-4DD4-BE4A-D374C9636CD2}"/>
            </c:ext>
          </c:extLst>
        </c:ser>
        <c:ser>
          <c:idx val="6"/>
          <c:order val="7"/>
          <c:tx>
            <c:strRef>
              <c:f>'Beispiel 2'!$AD$50</c:f>
              <c:strCache>
                <c:ptCount val="1"/>
                <c:pt idx="0">
                  <c:v>Fixed edges</c:v>
                </c:pt>
              </c:strCache>
            </c:strRef>
          </c:tx>
          <c:spPr>
            <a:ln w="22225" cap="rnd" cmpd="sng">
              <a:solidFill>
                <a:srgbClr val="C00000"/>
              </a:solidFill>
              <a:prstDash val="sysDash"/>
              <a:round/>
            </a:ln>
            <a:effectLst/>
          </c:spPr>
          <c:marker>
            <c:symbol val="none"/>
          </c:marker>
          <c:xVal>
            <c:numRef>
              <c:f>'Beispiel 2'!$AE$53:$AF$53</c:f>
              <c:numCache>
                <c:formatCode>General</c:formatCode>
                <c:ptCount val="2"/>
                <c:pt idx="0">
                  <c:v>0</c:v>
                </c:pt>
                <c:pt idx="1">
                  <c:v>0</c:v>
                </c:pt>
              </c:numCache>
            </c:numRef>
          </c:xVal>
          <c:yVal>
            <c:numRef>
              <c:f>'Beispiel 2'!$AE$54:$AF$54</c:f>
              <c:numCache>
                <c:formatCode>General</c:formatCode>
                <c:ptCount val="2"/>
                <c:pt idx="0">
                  <c:v>0</c:v>
                </c:pt>
                <c:pt idx="1">
                  <c:v>0</c:v>
                </c:pt>
              </c:numCache>
            </c:numRef>
          </c:yVal>
          <c:smooth val="0"/>
          <c:extLst>
            <c:ext xmlns:c16="http://schemas.microsoft.com/office/drawing/2014/chart" uri="{C3380CC4-5D6E-409C-BE32-E72D297353CC}">
              <c16:uniqueId val="{00000008-56DB-4DD4-BE4A-D374C9636CD2}"/>
            </c:ext>
          </c:extLst>
        </c:ser>
        <c:dLbls>
          <c:showLegendKey val="0"/>
          <c:showVal val="0"/>
          <c:showCatName val="0"/>
          <c:showSerName val="0"/>
          <c:showPercent val="0"/>
          <c:showBubbleSize val="0"/>
        </c:dLbls>
        <c:axId val="471500224"/>
        <c:axId val="471503360"/>
      </c:scatterChart>
      <c:valAx>
        <c:axId val="471500224"/>
        <c:scaling>
          <c:orientation val="minMax"/>
        </c:scaling>
        <c:delete val="0"/>
        <c:axPos val="b"/>
        <c:majorGridlines>
          <c:spPr>
            <a:ln w="9525" cap="flat" cmpd="sng" algn="ctr">
              <a:noFill/>
              <a:round/>
            </a:ln>
            <a:effectLst/>
          </c:spPr>
        </c:majorGridlines>
        <c:numFmt formatCode="General" sourceLinked="1"/>
        <c:majorTickMark val="none"/>
        <c:minorTickMark val="none"/>
        <c:tickLblPos val="none"/>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3360"/>
        <c:crosses val="autoZero"/>
        <c:crossBetween val="midCat"/>
        <c:majorUnit val="2"/>
      </c:valAx>
      <c:valAx>
        <c:axId val="471503360"/>
        <c:scaling>
          <c:orientation val="minMax"/>
          <c:min val="0"/>
        </c:scaling>
        <c:delete val="1"/>
        <c:axPos val="l"/>
        <c:majorGridlines>
          <c:spPr>
            <a:ln w="9525" cap="flat" cmpd="sng" algn="ctr">
              <a:noFill/>
              <a:round/>
            </a:ln>
            <a:effectLst/>
          </c:spPr>
        </c:majorGridlines>
        <c:numFmt formatCode="General" sourceLinked="1"/>
        <c:majorTickMark val="out"/>
        <c:minorTickMark val="none"/>
        <c:tickLblPos val="nextTo"/>
        <c:crossAx val="471500224"/>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196388888888891"/>
        </c:manualLayout>
      </c:layout>
      <c:scatterChart>
        <c:scatterStyle val="lineMarker"/>
        <c:varyColors val="0"/>
        <c:ser>
          <c:idx val="0"/>
          <c:order val="0"/>
          <c:tx>
            <c:strRef>
              <c:f>'Beispiel 3'!$T$31</c:f>
              <c:strCache>
                <c:ptCount val="1"/>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B524-4533-8BA0-8B5F759B5841}"/>
                </c:ext>
              </c:extLst>
            </c:dLbl>
            <c:dLbl>
              <c:idx val="1"/>
              <c:delete val="1"/>
              <c:extLst>
                <c:ext xmlns:c15="http://schemas.microsoft.com/office/drawing/2012/chart" uri="{CE6537A1-D6FC-4f65-9D91-7224C49458BB}"/>
                <c:ext xmlns:c16="http://schemas.microsoft.com/office/drawing/2014/chart" uri="{C3380CC4-5D6E-409C-BE32-E72D297353CC}">
                  <c16:uniqueId val="{00000001-B524-4533-8BA0-8B5F759B5841}"/>
                </c:ext>
              </c:extLst>
            </c:dLbl>
            <c:dLbl>
              <c:idx val="2"/>
              <c:delete val="1"/>
              <c:extLst>
                <c:ext xmlns:c15="http://schemas.microsoft.com/office/drawing/2012/chart" uri="{CE6537A1-D6FC-4f65-9D91-7224C49458BB}"/>
                <c:ext xmlns:c16="http://schemas.microsoft.com/office/drawing/2014/chart" uri="{C3380CC4-5D6E-409C-BE32-E72D297353CC}">
                  <c16:uniqueId val="{00000002-B524-4533-8BA0-8B5F759B5841}"/>
                </c:ext>
              </c:extLst>
            </c:dLbl>
            <c:dLbl>
              <c:idx val="3"/>
              <c:delete val="1"/>
              <c:extLst>
                <c:ext xmlns:c15="http://schemas.microsoft.com/office/drawing/2012/chart" uri="{CE6537A1-D6FC-4f65-9D91-7224C49458BB}"/>
                <c:ext xmlns:c16="http://schemas.microsoft.com/office/drawing/2014/chart" uri="{C3380CC4-5D6E-409C-BE32-E72D297353CC}">
                  <c16:uniqueId val="{00000003-B524-4533-8BA0-8B5F759B5841}"/>
                </c:ext>
              </c:extLst>
            </c:dLbl>
            <c:dLbl>
              <c:idx val="4"/>
              <c:delete val="1"/>
              <c:extLst>
                <c:ext xmlns:c15="http://schemas.microsoft.com/office/drawing/2012/chart" uri="{CE6537A1-D6FC-4f65-9D91-7224C49458BB}"/>
                <c:ext xmlns:c16="http://schemas.microsoft.com/office/drawing/2014/chart" uri="{C3380CC4-5D6E-409C-BE32-E72D297353CC}">
                  <c16:uniqueId val="{00000004-B524-4533-8BA0-8B5F759B584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3'!$V$31:$AA$31</c:f>
              <c:numCache>
                <c:formatCode>General</c:formatCode>
                <c:ptCount val="6"/>
                <c:pt idx="0">
                  <c:v>0.75</c:v>
                </c:pt>
                <c:pt idx="1">
                  <c:v>0.75</c:v>
                </c:pt>
                <c:pt idx="2">
                  <c:v>-0.75</c:v>
                </c:pt>
                <c:pt idx="3">
                  <c:v>-0.75</c:v>
                </c:pt>
                <c:pt idx="4">
                  <c:v>0.75</c:v>
                </c:pt>
                <c:pt idx="5">
                  <c:v>0.75</c:v>
                </c:pt>
              </c:numCache>
            </c:numRef>
          </c:xVal>
          <c:yVal>
            <c:numRef>
              <c:f>'Beispiel 3'!$V$32:$AA$32</c:f>
              <c:numCache>
                <c:formatCode>General</c:formatCode>
                <c:ptCount val="6"/>
                <c:pt idx="0">
                  <c:v>0</c:v>
                </c:pt>
                <c:pt idx="1">
                  <c:v>1</c:v>
                </c:pt>
                <c:pt idx="2">
                  <c:v>1</c:v>
                </c:pt>
                <c:pt idx="3">
                  <c:v>0</c:v>
                </c:pt>
                <c:pt idx="4">
                  <c:v>0</c:v>
                </c:pt>
                <c:pt idx="5">
                  <c:v>0.5</c:v>
                </c:pt>
              </c:numCache>
            </c:numRef>
          </c:yVal>
          <c:smooth val="0"/>
          <c:extLst>
            <c:ext xmlns:c16="http://schemas.microsoft.com/office/drawing/2014/chart" uri="{C3380CC4-5D6E-409C-BE32-E72D297353CC}">
              <c16:uniqueId val="{00000005-B524-4533-8BA0-8B5F759B5841}"/>
            </c:ext>
          </c:extLst>
        </c:ser>
        <c:ser>
          <c:idx val="1"/>
          <c:order val="1"/>
          <c:tx>
            <c:strRef>
              <c:f>'Beispiel 3'!$T$33</c:f>
              <c:strCache>
                <c:ptCount val="1"/>
                <c:pt idx="0">
                  <c:v>Wand 2</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B524-4533-8BA0-8B5F759B5841}"/>
                </c:ext>
              </c:extLst>
            </c:dLbl>
            <c:dLbl>
              <c:idx val="1"/>
              <c:delete val="1"/>
              <c:extLst>
                <c:ext xmlns:c15="http://schemas.microsoft.com/office/drawing/2012/chart" uri="{CE6537A1-D6FC-4f65-9D91-7224C49458BB}"/>
                <c:ext xmlns:c16="http://schemas.microsoft.com/office/drawing/2014/chart" uri="{C3380CC4-5D6E-409C-BE32-E72D297353CC}">
                  <c16:uniqueId val="{00000007-B524-4533-8BA0-8B5F759B5841}"/>
                </c:ext>
              </c:extLst>
            </c:dLbl>
            <c:dLbl>
              <c:idx val="2"/>
              <c:delete val="1"/>
              <c:extLst>
                <c:ext xmlns:c15="http://schemas.microsoft.com/office/drawing/2012/chart" uri="{CE6537A1-D6FC-4f65-9D91-7224C49458BB}"/>
                <c:ext xmlns:c16="http://schemas.microsoft.com/office/drawing/2014/chart" uri="{C3380CC4-5D6E-409C-BE32-E72D297353CC}">
                  <c16:uniqueId val="{00000008-B524-4533-8BA0-8B5F759B5841}"/>
                </c:ext>
              </c:extLst>
            </c:dLbl>
            <c:dLbl>
              <c:idx val="3"/>
              <c:delete val="1"/>
              <c:extLst>
                <c:ext xmlns:c15="http://schemas.microsoft.com/office/drawing/2012/chart" uri="{CE6537A1-D6FC-4f65-9D91-7224C49458BB}"/>
                <c:ext xmlns:c16="http://schemas.microsoft.com/office/drawing/2014/chart" uri="{C3380CC4-5D6E-409C-BE32-E72D297353CC}">
                  <c16:uniqueId val="{00000009-B524-4533-8BA0-8B5F759B5841}"/>
                </c:ext>
              </c:extLst>
            </c:dLbl>
            <c:dLbl>
              <c:idx val="4"/>
              <c:delete val="1"/>
              <c:extLst>
                <c:ext xmlns:c15="http://schemas.microsoft.com/office/drawing/2012/chart" uri="{CE6537A1-D6FC-4f65-9D91-7224C49458BB}"/>
                <c:ext xmlns:c16="http://schemas.microsoft.com/office/drawing/2014/chart" uri="{C3380CC4-5D6E-409C-BE32-E72D297353CC}">
                  <c16:uniqueId val="{0000000A-B524-4533-8BA0-8B5F759B584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3'!$V$33:$AA$33</c:f>
              <c:numCache>
                <c:formatCode>General</c:formatCode>
                <c:ptCount val="6"/>
                <c:pt idx="0">
                  <c:v>8.7499999999999994E-2</c:v>
                </c:pt>
                <c:pt idx="1">
                  <c:v>8.7499999999999994E-2</c:v>
                </c:pt>
                <c:pt idx="2">
                  <c:v>-8.7499999999999994E-2</c:v>
                </c:pt>
                <c:pt idx="3">
                  <c:v>-8.7499999999999994E-2</c:v>
                </c:pt>
                <c:pt idx="4">
                  <c:v>8.7499999999999994E-2</c:v>
                </c:pt>
                <c:pt idx="5">
                  <c:v>8.7499999999999994E-2</c:v>
                </c:pt>
              </c:numCache>
            </c:numRef>
          </c:xVal>
          <c:yVal>
            <c:numRef>
              <c:f>'Beispiel 3'!$V$34:$AA$34</c:f>
              <c:numCache>
                <c:formatCode>General</c:formatCode>
                <c:ptCount val="6"/>
                <c:pt idx="0">
                  <c:v>1.2</c:v>
                </c:pt>
                <c:pt idx="1">
                  <c:v>3.8449999999999998</c:v>
                </c:pt>
                <c:pt idx="2">
                  <c:v>3.8449999999999998</c:v>
                </c:pt>
                <c:pt idx="3">
                  <c:v>1.2</c:v>
                </c:pt>
                <c:pt idx="4">
                  <c:v>1.2</c:v>
                </c:pt>
                <c:pt idx="5">
                  <c:v>2.5225</c:v>
                </c:pt>
              </c:numCache>
            </c:numRef>
          </c:yVal>
          <c:smooth val="0"/>
          <c:extLst>
            <c:ext xmlns:c16="http://schemas.microsoft.com/office/drawing/2014/chart" uri="{C3380CC4-5D6E-409C-BE32-E72D297353CC}">
              <c16:uniqueId val="{0000000B-B524-4533-8BA0-8B5F759B5841}"/>
            </c:ext>
          </c:extLst>
        </c:ser>
        <c:ser>
          <c:idx val="2"/>
          <c:order val="2"/>
          <c:tx>
            <c:strRef>
              <c:f>'Beispiel 3'!$T$35</c:f>
              <c:strCache>
                <c:ptCount val="1"/>
                <c:pt idx="0">
                  <c:v>Wand 3</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B524-4533-8BA0-8B5F759B5841}"/>
                </c:ext>
              </c:extLst>
            </c:dLbl>
            <c:dLbl>
              <c:idx val="1"/>
              <c:delete val="1"/>
              <c:extLst>
                <c:ext xmlns:c15="http://schemas.microsoft.com/office/drawing/2012/chart" uri="{CE6537A1-D6FC-4f65-9D91-7224C49458BB}"/>
                <c:ext xmlns:c16="http://schemas.microsoft.com/office/drawing/2014/chart" uri="{C3380CC4-5D6E-409C-BE32-E72D297353CC}">
                  <c16:uniqueId val="{0000000D-B524-4533-8BA0-8B5F759B5841}"/>
                </c:ext>
              </c:extLst>
            </c:dLbl>
            <c:dLbl>
              <c:idx val="2"/>
              <c:delete val="1"/>
              <c:extLst>
                <c:ext xmlns:c15="http://schemas.microsoft.com/office/drawing/2012/chart" uri="{CE6537A1-D6FC-4f65-9D91-7224C49458BB}"/>
                <c:ext xmlns:c16="http://schemas.microsoft.com/office/drawing/2014/chart" uri="{C3380CC4-5D6E-409C-BE32-E72D297353CC}">
                  <c16:uniqueId val="{0000000E-B524-4533-8BA0-8B5F759B5841}"/>
                </c:ext>
              </c:extLst>
            </c:dLbl>
            <c:dLbl>
              <c:idx val="3"/>
              <c:delete val="1"/>
              <c:extLst>
                <c:ext xmlns:c15="http://schemas.microsoft.com/office/drawing/2012/chart" uri="{CE6537A1-D6FC-4f65-9D91-7224C49458BB}"/>
                <c:ext xmlns:c16="http://schemas.microsoft.com/office/drawing/2014/chart" uri="{C3380CC4-5D6E-409C-BE32-E72D297353CC}">
                  <c16:uniqueId val="{0000000F-B524-4533-8BA0-8B5F759B5841}"/>
                </c:ext>
              </c:extLst>
            </c:dLbl>
            <c:dLbl>
              <c:idx val="4"/>
              <c:delete val="1"/>
              <c:extLst>
                <c:ext xmlns:c15="http://schemas.microsoft.com/office/drawing/2012/chart" uri="{CE6537A1-D6FC-4f65-9D91-7224C49458BB}"/>
                <c:ext xmlns:c16="http://schemas.microsoft.com/office/drawing/2014/chart" uri="{C3380CC4-5D6E-409C-BE32-E72D297353CC}">
                  <c16:uniqueId val="{00000010-B524-4533-8BA0-8B5F759B584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3'!$V$35:$AA$35</c:f>
              <c:numCache>
                <c:formatCode>General</c:formatCode>
                <c:ptCount val="6"/>
                <c:pt idx="0">
                  <c:v>8.7499999999999994E-2</c:v>
                </c:pt>
                <c:pt idx="1">
                  <c:v>8.7499999999999994E-2</c:v>
                </c:pt>
                <c:pt idx="2">
                  <c:v>-8.7499999999999994E-2</c:v>
                </c:pt>
                <c:pt idx="3">
                  <c:v>-8.7499999999999994E-2</c:v>
                </c:pt>
                <c:pt idx="4">
                  <c:v>8.7499999999999994E-2</c:v>
                </c:pt>
                <c:pt idx="5">
                  <c:v>8.7499999999999994E-2</c:v>
                </c:pt>
              </c:numCache>
            </c:numRef>
          </c:xVal>
          <c:yVal>
            <c:numRef>
              <c:f>'Beispiel 3'!$V$36:$AA$36</c:f>
              <c:numCache>
                <c:formatCode>General</c:formatCode>
                <c:ptCount val="6"/>
                <c:pt idx="0">
                  <c:v>4.0449999999999999</c:v>
                </c:pt>
                <c:pt idx="1">
                  <c:v>7.0449999999999999</c:v>
                </c:pt>
                <c:pt idx="2">
                  <c:v>7.0449999999999999</c:v>
                </c:pt>
                <c:pt idx="3">
                  <c:v>4.0449999999999999</c:v>
                </c:pt>
                <c:pt idx="4">
                  <c:v>4.0449999999999999</c:v>
                </c:pt>
                <c:pt idx="5">
                  <c:v>5.5449999999999999</c:v>
                </c:pt>
              </c:numCache>
            </c:numRef>
          </c:yVal>
          <c:smooth val="0"/>
          <c:extLst>
            <c:ext xmlns:c16="http://schemas.microsoft.com/office/drawing/2014/chart" uri="{C3380CC4-5D6E-409C-BE32-E72D297353CC}">
              <c16:uniqueId val="{00000011-B524-4533-8BA0-8B5F759B5841}"/>
            </c:ext>
          </c:extLst>
        </c:ser>
        <c:ser>
          <c:idx val="3"/>
          <c:order val="3"/>
          <c:tx>
            <c:strRef>
              <c:f>'Beispiel 3'!$T$38</c:f>
              <c:strCache>
                <c:ptCount val="1"/>
                <c:pt idx="0">
                  <c:v>Decke 1</c:v>
                </c:pt>
              </c:strCache>
            </c:strRef>
          </c:tx>
          <c:spPr>
            <a:ln w="19050" cap="rnd">
              <a:solidFill>
                <a:schemeClr val="tx1"/>
              </a:solidFill>
              <a:round/>
            </a:ln>
            <a:effectLst/>
          </c:spPr>
          <c:marker>
            <c:symbol val="none"/>
          </c:marker>
          <c:dPt>
            <c:idx val="1"/>
            <c:bubble3D val="0"/>
            <c:extLst>
              <c:ext xmlns:c16="http://schemas.microsoft.com/office/drawing/2014/chart" uri="{C3380CC4-5D6E-409C-BE32-E72D297353CC}">
                <c16:uniqueId val="{00000012-B524-4533-8BA0-8B5F759B5841}"/>
              </c:ext>
            </c:extLst>
          </c:dPt>
          <c:dLbls>
            <c:dLbl>
              <c:idx val="0"/>
              <c:delete val="1"/>
              <c:extLst>
                <c:ext xmlns:c15="http://schemas.microsoft.com/office/drawing/2012/chart" uri="{CE6537A1-D6FC-4f65-9D91-7224C49458BB}"/>
                <c:ext xmlns:c16="http://schemas.microsoft.com/office/drawing/2014/chart" uri="{C3380CC4-5D6E-409C-BE32-E72D297353CC}">
                  <c16:uniqueId val="{00000013-B524-4533-8BA0-8B5F759B5841}"/>
                </c:ext>
              </c:extLst>
            </c:dLbl>
            <c:dLbl>
              <c:idx val="1"/>
              <c:delete val="1"/>
              <c:extLst>
                <c:ext xmlns:c15="http://schemas.microsoft.com/office/drawing/2012/chart" uri="{CE6537A1-D6FC-4f65-9D91-7224C49458BB}"/>
                <c:ext xmlns:c16="http://schemas.microsoft.com/office/drawing/2014/chart" uri="{C3380CC4-5D6E-409C-BE32-E72D297353CC}">
                  <c16:uniqueId val="{00000012-B524-4533-8BA0-8B5F759B5841}"/>
                </c:ext>
              </c:extLst>
            </c:dLbl>
            <c:dLbl>
              <c:idx val="2"/>
              <c:delete val="1"/>
              <c:extLst>
                <c:ext xmlns:c15="http://schemas.microsoft.com/office/drawing/2012/chart" uri="{CE6537A1-D6FC-4f65-9D91-7224C49458BB}"/>
                <c:ext xmlns:c16="http://schemas.microsoft.com/office/drawing/2014/chart" uri="{C3380CC4-5D6E-409C-BE32-E72D297353CC}">
                  <c16:uniqueId val="{00000014-B524-4533-8BA0-8B5F759B5841}"/>
                </c:ext>
              </c:extLst>
            </c:dLbl>
            <c:dLbl>
              <c:idx val="3"/>
              <c:delete val="1"/>
              <c:extLst>
                <c:ext xmlns:c15="http://schemas.microsoft.com/office/drawing/2012/chart" uri="{CE6537A1-D6FC-4f65-9D91-7224C49458BB}"/>
                <c:ext xmlns:c16="http://schemas.microsoft.com/office/drawing/2014/chart" uri="{C3380CC4-5D6E-409C-BE32-E72D297353CC}">
                  <c16:uniqueId val="{00000015-B524-4533-8BA0-8B5F759B5841}"/>
                </c:ext>
              </c:extLst>
            </c:dLbl>
            <c:dLbl>
              <c:idx val="5"/>
              <c:delete val="1"/>
              <c:extLst>
                <c:ext xmlns:c15="http://schemas.microsoft.com/office/drawing/2012/chart" uri="{CE6537A1-D6FC-4f65-9D91-7224C49458BB}"/>
                <c:ext xmlns:c16="http://schemas.microsoft.com/office/drawing/2014/chart" uri="{C3380CC4-5D6E-409C-BE32-E72D297353CC}">
                  <c16:uniqueId val="{00000016-B524-4533-8BA0-8B5F759B5841}"/>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3'!$V$38:$AA$38</c:f>
              <c:numCache>
                <c:formatCode>General</c:formatCode>
                <c:ptCount val="6"/>
                <c:pt idx="0">
                  <c:v>-0.1525</c:v>
                </c:pt>
                <c:pt idx="1">
                  <c:v>-0.1525</c:v>
                </c:pt>
                <c:pt idx="2">
                  <c:v>7.0875000000000004</c:v>
                </c:pt>
                <c:pt idx="3">
                  <c:v>7.0875000000000004</c:v>
                </c:pt>
                <c:pt idx="4">
                  <c:v>3.5874999999999999</c:v>
                </c:pt>
                <c:pt idx="5">
                  <c:v>-0.1525</c:v>
                </c:pt>
              </c:numCache>
            </c:numRef>
          </c:xVal>
          <c:yVal>
            <c:numRef>
              <c:f>'Beispiel 3'!$V$39:$AA$39</c:f>
              <c:numCache>
                <c:formatCode>General</c:formatCode>
                <c:ptCount val="6"/>
                <c:pt idx="0">
                  <c:v>1.2</c:v>
                </c:pt>
                <c:pt idx="1">
                  <c:v>1.2</c:v>
                </c:pt>
                <c:pt idx="2">
                  <c:v>1.2</c:v>
                </c:pt>
                <c:pt idx="3">
                  <c:v>1</c:v>
                </c:pt>
                <c:pt idx="4">
                  <c:v>1</c:v>
                </c:pt>
                <c:pt idx="5">
                  <c:v>1</c:v>
                </c:pt>
              </c:numCache>
            </c:numRef>
          </c:yVal>
          <c:smooth val="0"/>
          <c:extLst>
            <c:ext xmlns:c16="http://schemas.microsoft.com/office/drawing/2014/chart" uri="{C3380CC4-5D6E-409C-BE32-E72D297353CC}">
              <c16:uniqueId val="{00000017-B524-4533-8BA0-8B5F759B5841}"/>
            </c:ext>
          </c:extLst>
        </c:ser>
        <c:ser>
          <c:idx val="4"/>
          <c:order val="4"/>
          <c:tx>
            <c:strRef>
              <c:f>'Beispiel 3'!$T$40</c:f>
              <c:strCache>
                <c:ptCount val="1"/>
                <c:pt idx="0">
                  <c:v>Decke 2</c:v>
                </c:pt>
              </c:strCache>
            </c:strRef>
          </c:tx>
          <c:spPr>
            <a:ln w="19050" cap="rnd">
              <a:solidFill>
                <a:schemeClr val="tx1"/>
              </a:solidFill>
              <a:round/>
            </a:ln>
            <a:effectLst/>
          </c:spPr>
          <c:marker>
            <c:symbol val="none"/>
          </c:marker>
          <c:dPt>
            <c:idx val="1"/>
            <c:bubble3D val="0"/>
            <c:extLst>
              <c:ext xmlns:c16="http://schemas.microsoft.com/office/drawing/2014/chart" uri="{C3380CC4-5D6E-409C-BE32-E72D297353CC}">
                <c16:uniqueId val="{00000018-B524-4533-8BA0-8B5F759B5841}"/>
              </c:ext>
            </c:extLst>
          </c:dPt>
          <c:dLbls>
            <c:dLbl>
              <c:idx val="0"/>
              <c:delete val="1"/>
              <c:extLst>
                <c:ext xmlns:c15="http://schemas.microsoft.com/office/drawing/2012/chart" uri="{CE6537A1-D6FC-4f65-9D91-7224C49458BB}"/>
                <c:ext xmlns:c16="http://schemas.microsoft.com/office/drawing/2014/chart" uri="{C3380CC4-5D6E-409C-BE32-E72D297353CC}">
                  <c16:uniqueId val="{00000019-B524-4533-8BA0-8B5F759B5841}"/>
                </c:ext>
              </c:extLst>
            </c:dLbl>
            <c:dLbl>
              <c:idx val="1"/>
              <c:delete val="1"/>
              <c:extLst>
                <c:ext xmlns:c15="http://schemas.microsoft.com/office/drawing/2012/chart" uri="{CE6537A1-D6FC-4f65-9D91-7224C49458BB}"/>
                <c:ext xmlns:c16="http://schemas.microsoft.com/office/drawing/2014/chart" uri="{C3380CC4-5D6E-409C-BE32-E72D297353CC}">
                  <c16:uniqueId val="{00000018-B524-4533-8BA0-8B5F759B5841}"/>
                </c:ext>
              </c:extLst>
            </c:dLbl>
            <c:dLbl>
              <c:idx val="2"/>
              <c:delete val="1"/>
              <c:extLst>
                <c:ext xmlns:c15="http://schemas.microsoft.com/office/drawing/2012/chart" uri="{CE6537A1-D6FC-4f65-9D91-7224C49458BB}"/>
                <c:ext xmlns:c16="http://schemas.microsoft.com/office/drawing/2014/chart" uri="{C3380CC4-5D6E-409C-BE32-E72D297353CC}">
                  <c16:uniqueId val="{0000001A-B524-4533-8BA0-8B5F759B5841}"/>
                </c:ext>
              </c:extLst>
            </c:dLbl>
            <c:dLbl>
              <c:idx val="3"/>
              <c:delete val="1"/>
              <c:extLst>
                <c:ext xmlns:c15="http://schemas.microsoft.com/office/drawing/2012/chart" uri="{CE6537A1-D6FC-4f65-9D91-7224C49458BB}"/>
                <c:ext xmlns:c16="http://schemas.microsoft.com/office/drawing/2014/chart" uri="{C3380CC4-5D6E-409C-BE32-E72D297353CC}">
                  <c16:uniqueId val="{0000001B-B524-4533-8BA0-8B5F759B5841}"/>
                </c:ext>
              </c:extLst>
            </c:dLbl>
            <c:dLbl>
              <c:idx val="5"/>
              <c:delete val="1"/>
              <c:extLst>
                <c:ext xmlns:c15="http://schemas.microsoft.com/office/drawing/2012/chart" uri="{CE6537A1-D6FC-4f65-9D91-7224C49458BB}"/>
                <c:ext xmlns:c16="http://schemas.microsoft.com/office/drawing/2014/chart" uri="{C3380CC4-5D6E-409C-BE32-E72D297353CC}">
                  <c16:uniqueId val="{0000001C-B524-4533-8BA0-8B5F759B5841}"/>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3'!$V$40:$AA$40</c:f>
              <c:numCache>
                <c:formatCode>General</c:formatCode>
                <c:ptCount val="6"/>
                <c:pt idx="0">
                  <c:v>-0.1525</c:v>
                </c:pt>
                <c:pt idx="1">
                  <c:v>-0.1525</c:v>
                </c:pt>
                <c:pt idx="2">
                  <c:v>7.0875000000000004</c:v>
                </c:pt>
                <c:pt idx="3">
                  <c:v>7.0875000000000004</c:v>
                </c:pt>
                <c:pt idx="4">
                  <c:v>3.5874999999999999</c:v>
                </c:pt>
                <c:pt idx="5">
                  <c:v>-0.1525</c:v>
                </c:pt>
              </c:numCache>
            </c:numRef>
          </c:xVal>
          <c:yVal>
            <c:numRef>
              <c:f>'Beispiel 3'!$V$41:$AA$41</c:f>
              <c:numCache>
                <c:formatCode>General</c:formatCode>
                <c:ptCount val="6"/>
                <c:pt idx="0">
                  <c:v>4.0449999999999999</c:v>
                </c:pt>
                <c:pt idx="1">
                  <c:v>4.0449999999999999</c:v>
                </c:pt>
                <c:pt idx="2">
                  <c:v>4.0449999999999999</c:v>
                </c:pt>
                <c:pt idx="3">
                  <c:v>3.8449999999999998</c:v>
                </c:pt>
                <c:pt idx="4">
                  <c:v>3.8449999999999998</c:v>
                </c:pt>
                <c:pt idx="5">
                  <c:v>3.8449999999999998</c:v>
                </c:pt>
              </c:numCache>
            </c:numRef>
          </c:yVal>
          <c:smooth val="0"/>
          <c:extLst>
            <c:ext xmlns:c16="http://schemas.microsoft.com/office/drawing/2014/chart" uri="{C3380CC4-5D6E-409C-BE32-E72D297353CC}">
              <c16:uniqueId val="{0000001D-B524-4533-8BA0-8B5F759B5841}"/>
            </c:ext>
          </c:extLst>
        </c:ser>
        <c:ser>
          <c:idx val="5"/>
          <c:order val="5"/>
          <c:tx>
            <c:strRef>
              <c:f>'Beispiel 3'!$T$42</c:f>
              <c:strCache>
                <c:ptCount val="1"/>
                <c:pt idx="0">
                  <c:v>Decke 3</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E-B524-4533-8BA0-8B5F759B5841}"/>
                </c:ext>
              </c:extLst>
            </c:dLbl>
            <c:dLbl>
              <c:idx val="1"/>
              <c:delete val="1"/>
              <c:extLst>
                <c:ext xmlns:c15="http://schemas.microsoft.com/office/drawing/2012/chart" uri="{CE6537A1-D6FC-4f65-9D91-7224C49458BB}"/>
                <c:ext xmlns:c16="http://schemas.microsoft.com/office/drawing/2014/chart" uri="{C3380CC4-5D6E-409C-BE32-E72D297353CC}">
                  <c16:uniqueId val="{0000001F-B524-4533-8BA0-8B5F759B5841}"/>
                </c:ext>
              </c:extLst>
            </c:dLbl>
            <c:dLbl>
              <c:idx val="2"/>
              <c:delete val="1"/>
              <c:extLst>
                <c:ext xmlns:c15="http://schemas.microsoft.com/office/drawing/2012/chart" uri="{CE6537A1-D6FC-4f65-9D91-7224C49458BB}"/>
                <c:ext xmlns:c16="http://schemas.microsoft.com/office/drawing/2014/chart" uri="{C3380CC4-5D6E-409C-BE32-E72D297353CC}">
                  <c16:uniqueId val="{00000020-B524-4533-8BA0-8B5F759B5841}"/>
                </c:ext>
              </c:extLst>
            </c:dLbl>
            <c:dLbl>
              <c:idx val="3"/>
              <c:delete val="1"/>
              <c:extLst>
                <c:ext xmlns:c15="http://schemas.microsoft.com/office/drawing/2012/chart" uri="{CE6537A1-D6FC-4f65-9D91-7224C49458BB}"/>
                <c:ext xmlns:c16="http://schemas.microsoft.com/office/drawing/2014/chart" uri="{C3380CC4-5D6E-409C-BE32-E72D297353CC}">
                  <c16:uniqueId val="{00000021-B524-4533-8BA0-8B5F759B5841}"/>
                </c:ext>
              </c:extLst>
            </c:dLbl>
            <c:dLbl>
              <c:idx val="5"/>
              <c:delete val="1"/>
              <c:extLst>
                <c:ext xmlns:c15="http://schemas.microsoft.com/office/drawing/2012/chart" uri="{CE6537A1-D6FC-4f65-9D91-7224C49458BB}"/>
                <c:ext xmlns:c16="http://schemas.microsoft.com/office/drawing/2014/chart" uri="{C3380CC4-5D6E-409C-BE32-E72D297353CC}">
                  <c16:uniqueId val="{00000022-B524-4533-8BA0-8B5F759B5841}"/>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3'!$V$42:$AA$42</c:f>
              <c:numCache>
                <c:formatCode>General</c:formatCode>
                <c:ptCount val="6"/>
                <c:pt idx="0">
                  <c:v>-0.1525</c:v>
                </c:pt>
                <c:pt idx="1">
                  <c:v>-0.1525</c:v>
                </c:pt>
                <c:pt idx="2">
                  <c:v>-4.0875000000000004</c:v>
                </c:pt>
                <c:pt idx="3">
                  <c:v>-4.0875000000000004</c:v>
                </c:pt>
                <c:pt idx="4">
                  <c:v>-2.0874999999999999</c:v>
                </c:pt>
                <c:pt idx="5">
                  <c:v>-0.1525</c:v>
                </c:pt>
              </c:numCache>
            </c:numRef>
          </c:xVal>
          <c:yVal>
            <c:numRef>
              <c:f>'Beispiel 3'!$V$43:$AA$43</c:f>
              <c:numCache>
                <c:formatCode>General</c:formatCode>
                <c:ptCount val="6"/>
                <c:pt idx="0">
                  <c:v>1.2</c:v>
                </c:pt>
                <c:pt idx="1">
                  <c:v>1.2</c:v>
                </c:pt>
                <c:pt idx="2">
                  <c:v>1.2</c:v>
                </c:pt>
                <c:pt idx="3">
                  <c:v>1</c:v>
                </c:pt>
                <c:pt idx="4">
                  <c:v>1</c:v>
                </c:pt>
                <c:pt idx="5">
                  <c:v>1</c:v>
                </c:pt>
              </c:numCache>
            </c:numRef>
          </c:yVal>
          <c:smooth val="0"/>
          <c:extLst>
            <c:ext xmlns:c16="http://schemas.microsoft.com/office/drawing/2014/chart" uri="{C3380CC4-5D6E-409C-BE32-E72D297353CC}">
              <c16:uniqueId val="{00000023-B524-4533-8BA0-8B5F759B5841}"/>
            </c:ext>
          </c:extLst>
        </c:ser>
        <c:ser>
          <c:idx val="6"/>
          <c:order val="6"/>
          <c:tx>
            <c:strRef>
              <c:f>'Beispiel 3'!$T$44</c:f>
              <c:strCache>
                <c:ptCount val="1"/>
                <c:pt idx="0">
                  <c:v>Decke 4</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4-B524-4533-8BA0-8B5F759B5841}"/>
                </c:ext>
              </c:extLst>
            </c:dLbl>
            <c:dLbl>
              <c:idx val="1"/>
              <c:delete val="1"/>
              <c:extLst>
                <c:ext xmlns:c15="http://schemas.microsoft.com/office/drawing/2012/chart" uri="{CE6537A1-D6FC-4f65-9D91-7224C49458BB}"/>
                <c:ext xmlns:c16="http://schemas.microsoft.com/office/drawing/2014/chart" uri="{C3380CC4-5D6E-409C-BE32-E72D297353CC}">
                  <c16:uniqueId val="{00000025-B524-4533-8BA0-8B5F759B5841}"/>
                </c:ext>
              </c:extLst>
            </c:dLbl>
            <c:dLbl>
              <c:idx val="2"/>
              <c:delete val="1"/>
              <c:extLst>
                <c:ext xmlns:c15="http://schemas.microsoft.com/office/drawing/2012/chart" uri="{CE6537A1-D6FC-4f65-9D91-7224C49458BB}"/>
                <c:ext xmlns:c16="http://schemas.microsoft.com/office/drawing/2014/chart" uri="{C3380CC4-5D6E-409C-BE32-E72D297353CC}">
                  <c16:uniqueId val="{00000026-B524-4533-8BA0-8B5F759B5841}"/>
                </c:ext>
              </c:extLst>
            </c:dLbl>
            <c:dLbl>
              <c:idx val="3"/>
              <c:delete val="1"/>
              <c:extLst>
                <c:ext xmlns:c15="http://schemas.microsoft.com/office/drawing/2012/chart" uri="{CE6537A1-D6FC-4f65-9D91-7224C49458BB}"/>
                <c:ext xmlns:c16="http://schemas.microsoft.com/office/drawing/2014/chart" uri="{C3380CC4-5D6E-409C-BE32-E72D297353CC}">
                  <c16:uniqueId val="{00000027-B524-4533-8BA0-8B5F759B5841}"/>
                </c:ext>
              </c:extLst>
            </c:dLbl>
            <c:dLbl>
              <c:idx val="5"/>
              <c:delete val="1"/>
              <c:extLst>
                <c:ext xmlns:c15="http://schemas.microsoft.com/office/drawing/2012/chart" uri="{CE6537A1-D6FC-4f65-9D91-7224C49458BB}"/>
                <c:ext xmlns:c16="http://schemas.microsoft.com/office/drawing/2014/chart" uri="{C3380CC4-5D6E-409C-BE32-E72D297353CC}">
                  <c16:uniqueId val="{00000028-B524-4533-8BA0-8B5F759B5841}"/>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3'!$V$44:$AA$44</c:f>
              <c:numCache>
                <c:formatCode>General</c:formatCode>
                <c:ptCount val="6"/>
                <c:pt idx="0">
                  <c:v>-0.1525</c:v>
                </c:pt>
                <c:pt idx="1">
                  <c:v>-0.1525</c:v>
                </c:pt>
                <c:pt idx="2">
                  <c:v>-4.0875000000000004</c:v>
                </c:pt>
                <c:pt idx="3">
                  <c:v>-4.0875000000000004</c:v>
                </c:pt>
                <c:pt idx="4">
                  <c:v>-2.0874999999999999</c:v>
                </c:pt>
                <c:pt idx="5">
                  <c:v>-0.1525</c:v>
                </c:pt>
              </c:numCache>
            </c:numRef>
          </c:xVal>
          <c:yVal>
            <c:numRef>
              <c:f>'Beispiel 3'!$V$45:$AA$45</c:f>
              <c:numCache>
                <c:formatCode>General</c:formatCode>
                <c:ptCount val="6"/>
                <c:pt idx="0">
                  <c:v>4.0449999999999999</c:v>
                </c:pt>
                <c:pt idx="1">
                  <c:v>4.0449999999999999</c:v>
                </c:pt>
                <c:pt idx="2">
                  <c:v>4.0449999999999999</c:v>
                </c:pt>
                <c:pt idx="3">
                  <c:v>3.8449999999999998</c:v>
                </c:pt>
                <c:pt idx="4">
                  <c:v>3.8449999999999998</c:v>
                </c:pt>
                <c:pt idx="5">
                  <c:v>3.8449999999999998</c:v>
                </c:pt>
              </c:numCache>
            </c:numRef>
          </c:yVal>
          <c:smooth val="0"/>
          <c:extLst>
            <c:ext xmlns:c16="http://schemas.microsoft.com/office/drawing/2014/chart" uri="{C3380CC4-5D6E-409C-BE32-E72D297353CC}">
              <c16:uniqueId val="{00000029-B524-4533-8BA0-8B5F759B5841}"/>
            </c:ext>
          </c:extLst>
        </c:ser>
        <c:ser>
          <c:idx val="11"/>
          <c:order val="7"/>
          <c:tx>
            <c:strRef>
              <c:f>'Beispiel 3'!$T$46</c:f>
              <c:strCache>
                <c:ptCount val="1"/>
                <c:pt idx="0">
                  <c:v>Outline</c:v>
                </c:pt>
              </c:strCache>
            </c:strRef>
          </c:tx>
          <c:spPr>
            <a:ln w="19050" cap="rnd">
              <a:noFill/>
              <a:round/>
            </a:ln>
            <a:effectLst/>
          </c:spPr>
          <c:marker>
            <c:symbol val="none"/>
          </c:marker>
          <c:dLbls>
            <c:delete val="1"/>
          </c:dLbls>
          <c:xVal>
            <c:numRef>
              <c:f>'Beispiel 3'!$V$46:$W$46</c:f>
              <c:numCache>
                <c:formatCode>General</c:formatCode>
                <c:ptCount val="2"/>
                <c:pt idx="0">
                  <c:v>7.7962500000000015</c:v>
                </c:pt>
                <c:pt idx="1">
                  <c:v>-7.7962500000000015</c:v>
                </c:pt>
              </c:numCache>
            </c:numRef>
          </c:xVal>
          <c:yVal>
            <c:numRef>
              <c:f>'Beispiel 3'!$V$47:$W$47</c:f>
              <c:numCache>
                <c:formatCode>General</c:formatCode>
                <c:ptCount val="2"/>
                <c:pt idx="0">
                  <c:v>7.7962500000000015</c:v>
                </c:pt>
                <c:pt idx="1">
                  <c:v>7.7962500000000015</c:v>
                </c:pt>
              </c:numCache>
            </c:numRef>
          </c:yVal>
          <c:smooth val="0"/>
          <c:extLst>
            <c:ext xmlns:c16="http://schemas.microsoft.com/office/drawing/2014/chart" uri="{C3380CC4-5D6E-409C-BE32-E72D297353CC}">
              <c16:uniqueId val="{0000002A-B524-4533-8BA0-8B5F759B5841}"/>
            </c:ext>
          </c:extLst>
        </c:ser>
        <c:ser>
          <c:idx val="12"/>
          <c:order val="8"/>
          <c:tx>
            <c:strRef>
              <c:f>'Beispiel 3'!$X$51</c:f>
              <c:strCache>
                <c:ptCount val="1"/>
              </c:strCache>
            </c:strRef>
          </c:tx>
          <c:spPr>
            <a:ln w="19050" cap="rnd">
              <a:solidFill>
                <a:schemeClr val="accent1">
                  <a:lumMod val="80000"/>
                  <a:lumOff val="20000"/>
                </a:schemeClr>
              </a:solidFill>
              <a:round/>
            </a:ln>
            <a:effectLst/>
          </c:spPr>
          <c:marker>
            <c:symbol val="none"/>
          </c:marker>
          <c:dPt>
            <c:idx val="1"/>
            <c:bubble3D val="0"/>
            <c:spPr>
              <a:ln w="19050" cap="rnd">
                <a:solidFill>
                  <a:srgbClr val="C00000"/>
                </a:solidFill>
                <a:round/>
                <a:tailEnd type="triangle"/>
              </a:ln>
              <a:effectLst/>
            </c:spPr>
            <c:extLst>
              <c:ext xmlns:c16="http://schemas.microsoft.com/office/drawing/2014/chart" uri="{C3380CC4-5D6E-409C-BE32-E72D297353CC}">
                <c16:uniqueId val="{0000002C-B524-4533-8BA0-8B5F759B5841}"/>
              </c:ext>
            </c:extLst>
          </c:dPt>
          <c:dLbls>
            <c:dLbl>
              <c:idx val="0"/>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D-B524-4533-8BA0-8B5F759B5841}"/>
                </c:ext>
              </c:extLst>
            </c:dLbl>
            <c:dLbl>
              <c:idx val="1"/>
              <c:delete val="1"/>
              <c:extLst>
                <c:ext xmlns:c15="http://schemas.microsoft.com/office/drawing/2012/chart" uri="{CE6537A1-D6FC-4f65-9D91-7224C49458BB}"/>
                <c:ext xmlns:c16="http://schemas.microsoft.com/office/drawing/2014/chart" uri="{C3380CC4-5D6E-409C-BE32-E72D297353CC}">
                  <c16:uniqueId val="{0000002C-B524-4533-8BA0-8B5F759B584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3'!$V$51:$W$51</c:f>
              <c:numCache>
                <c:formatCode>General</c:formatCode>
                <c:ptCount val="2"/>
                <c:pt idx="0">
                  <c:v>0</c:v>
                </c:pt>
                <c:pt idx="1">
                  <c:v>0</c:v>
                </c:pt>
              </c:numCache>
            </c:numRef>
          </c:xVal>
          <c:yVal>
            <c:numRef>
              <c:f>'Beispiel 3'!$V$52:$W$52</c:f>
              <c:numCache>
                <c:formatCode>General</c:formatCode>
                <c:ptCount val="2"/>
                <c:pt idx="0">
                  <c:v>-5</c:v>
                </c:pt>
                <c:pt idx="1">
                  <c:v>-5</c:v>
                </c:pt>
              </c:numCache>
            </c:numRef>
          </c:yVal>
          <c:smooth val="0"/>
          <c:extLst>
            <c:ext xmlns:c16="http://schemas.microsoft.com/office/drawing/2014/chart" uri="{C3380CC4-5D6E-409C-BE32-E72D297353CC}">
              <c16:uniqueId val="{0000002E-B524-4533-8BA0-8B5F759B5841}"/>
            </c:ext>
          </c:extLst>
        </c:ser>
        <c:ser>
          <c:idx val="13"/>
          <c:order val="9"/>
          <c:tx>
            <c:strRef>
              <c:f>'Beispiel 3'!$X$53</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F-B524-4533-8BA0-8B5F759B5841}"/>
                </c:ext>
              </c:extLst>
            </c:dLbl>
            <c:spPr>
              <a:noFill/>
              <a:ln>
                <a:noFill/>
              </a:ln>
              <a:effectLst/>
            </c:spPr>
            <c:txPr>
              <a:bodyPr rot="0" spcFirstLastPara="1" vertOverflow="ellipsis" vert="horz" wrap="square" lIns="38100" tIns="19050" rIns="38100" bIns="19050" anchor="ctr" anchorCtr="0">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3'!$V$53:$W$53</c:f>
              <c:numCache>
                <c:formatCode>General</c:formatCode>
                <c:ptCount val="2"/>
                <c:pt idx="0">
                  <c:v>0</c:v>
                </c:pt>
                <c:pt idx="1">
                  <c:v>0</c:v>
                </c:pt>
              </c:numCache>
            </c:numRef>
          </c:xVal>
          <c:yVal>
            <c:numRef>
              <c:f>'Beispiel 3'!$V$54:$W$54</c:f>
              <c:numCache>
                <c:formatCode>General</c:formatCode>
                <c:ptCount val="2"/>
                <c:pt idx="0">
                  <c:v>-5</c:v>
                </c:pt>
                <c:pt idx="1">
                  <c:v>-5</c:v>
                </c:pt>
              </c:numCache>
            </c:numRef>
          </c:yVal>
          <c:smooth val="0"/>
          <c:extLst>
            <c:ext xmlns:c16="http://schemas.microsoft.com/office/drawing/2014/chart" uri="{C3380CC4-5D6E-409C-BE32-E72D297353CC}">
              <c16:uniqueId val="{00000030-B524-4533-8BA0-8B5F759B5841}"/>
            </c:ext>
          </c:extLst>
        </c:ser>
        <c:ser>
          <c:idx val="14"/>
          <c:order val="10"/>
          <c:tx>
            <c:strRef>
              <c:f>'Beispiel 3'!$X$55</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1-B524-4533-8BA0-8B5F759B584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3'!$V$55:$W$55</c:f>
              <c:numCache>
                <c:formatCode>General</c:formatCode>
                <c:ptCount val="2"/>
                <c:pt idx="0">
                  <c:v>0</c:v>
                </c:pt>
                <c:pt idx="1">
                  <c:v>0</c:v>
                </c:pt>
              </c:numCache>
            </c:numRef>
          </c:xVal>
          <c:yVal>
            <c:numRef>
              <c:f>'Beispiel 3'!$V$56:$W$56</c:f>
              <c:numCache>
                <c:formatCode>General</c:formatCode>
                <c:ptCount val="2"/>
                <c:pt idx="0">
                  <c:v>-5</c:v>
                </c:pt>
                <c:pt idx="1">
                  <c:v>-5</c:v>
                </c:pt>
              </c:numCache>
            </c:numRef>
          </c:yVal>
          <c:smooth val="0"/>
          <c:extLst>
            <c:ext xmlns:c16="http://schemas.microsoft.com/office/drawing/2014/chart" uri="{C3380CC4-5D6E-409C-BE32-E72D297353CC}">
              <c16:uniqueId val="{00000032-B524-4533-8BA0-8B5F759B5841}"/>
            </c:ext>
          </c:extLst>
        </c:ser>
        <c:ser>
          <c:idx val="15"/>
          <c:order val="11"/>
          <c:tx>
            <c:strRef>
              <c:f>'Beispiel 3'!$X$57</c:f>
              <c:strCache>
                <c:ptCount val="1"/>
              </c:strCache>
            </c:strRef>
          </c:tx>
          <c:spPr>
            <a:ln w="19050" cap="rnd">
              <a:solidFill>
                <a:srgbClr val="C00000"/>
              </a:solidFill>
              <a:round/>
              <a:headEnd type="none"/>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3-B524-4533-8BA0-8B5F759B584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3'!$V$57:$W$57</c:f>
              <c:numCache>
                <c:formatCode>General</c:formatCode>
                <c:ptCount val="2"/>
                <c:pt idx="0">
                  <c:v>0</c:v>
                </c:pt>
                <c:pt idx="1">
                  <c:v>0</c:v>
                </c:pt>
              </c:numCache>
            </c:numRef>
          </c:xVal>
          <c:yVal>
            <c:numRef>
              <c:f>'Beispiel 3'!$V$58:$W$58</c:f>
              <c:numCache>
                <c:formatCode>General</c:formatCode>
                <c:ptCount val="2"/>
                <c:pt idx="0">
                  <c:v>-5</c:v>
                </c:pt>
                <c:pt idx="1">
                  <c:v>-5</c:v>
                </c:pt>
              </c:numCache>
            </c:numRef>
          </c:yVal>
          <c:smooth val="0"/>
          <c:extLst>
            <c:ext xmlns:c16="http://schemas.microsoft.com/office/drawing/2014/chart" uri="{C3380CC4-5D6E-409C-BE32-E72D297353CC}">
              <c16:uniqueId val="{00000034-B524-4533-8BA0-8B5F759B5841}"/>
            </c:ext>
          </c:extLst>
        </c:ser>
        <c:ser>
          <c:idx val="7"/>
          <c:order val="12"/>
          <c:tx>
            <c:v>Bearing Slab 01 Fixed</c:v>
          </c:tx>
          <c:spPr>
            <a:ln w="19050" cap="rnd">
              <a:solidFill>
                <a:schemeClr val="accent2">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3'!$Z$51</c:f>
              <c:numCache>
                <c:formatCode>General</c:formatCode>
                <c:ptCount val="1"/>
                <c:pt idx="0">
                  <c:v>7.0875000000000004</c:v>
                </c:pt>
              </c:numCache>
            </c:numRef>
          </c:xVal>
          <c:yVal>
            <c:numRef>
              <c:f>'Beispiel 3'!$Z$52</c:f>
              <c:numCache>
                <c:formatCode>General</c:formatCode>
                <c:ptCount val="1"/>
                <c:pt idx="0">
                  <c:v>1</c:v>
                </c:pt>
              </c:numCache>
            </c:numRef>
          </c:yVal>
          <c:smooth val="0"/>
          <c:extLst>
            <c:ext xmlns:c16="http://schemas.microsoft.com/office/drawing/2014/chart" uri="{C3380CC4-5D6E-409C-BE32-E72D297353CC}">
              <c16:uniqueId val="{00000035-B524-4533-8BA0-8B5F759B5841}"/>
            </c:ext>
          </c:extLst>
        </c:ser>
        <c:ser>
          <c:idx val="8"/>
          <c:order val="13"/>
          <c:tx>
            <c:v>Bearing Slab 01 Hinged</c:v>
          </c:tx>
          <c:spPr>
            <a:ln w="19050" cap="rnd">
              <a:solidFill>
                <a:schemeClr val="accent3">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3'!$AA$51</c:f>
              <c:numCache>
                <c:formatCode>General</c:formatCode>
                <c:ptCount val="1"/>
                <c:pt idx="0">
                  <c:v>7.0875000000000004</c:v>
                </c:pt>
              </c:numCache>
            </c:numRef>
          </c:xVal>
          <c:yVal>
            <c:numRef>
              <c:f>'Beispiel 3'!$AA$52</c:f>
              <c:numCache>
                <c:formatCode>General</c:formatCode>
                <c:ptCount val="1"/>
                <c:pt idx="0">
                  <c:v>-5</c:v>
                </c:pt>
              </c:numCache>
            </c:numRef>
          </c:yVal>
          <c:smooth val="0"/>
          <c:extLst>
            <c:ext xmlns:c16="http://schemas.microsoft.com/office/drawing/2014/chart" uri="{C3380CC4-5D6E-409C-BE32-E72D297353CC}">
              <c16:uniqueId val="{00000036-B524-4533-8BA0-8B5F759B5841}"/>
            </c:ext>
          </c:extLst>
        </c:ser>
        <c:ser>
          <c:idx val="9"/>
          <c:order val="14"/>
          <c:tx>
            <c:v>Bearing Slab 02 Fixed</c:v>
          </c:tx>
          <c:spPr>
            <a:ln w="19050" cap="rnd">
              <a:solidFill>
                <a:schemeClr val="accent4">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3'!$Z$53</c:f>
              <c:numCache>
                <c:formatCode>General</c:formatCode>
                <c:ptCount val="1"/>
                <c:pt idx="0">
                  <c:v>7.0875000000000004</c:v>
                </c:pt>
              </c:numCache>
            </c:numRef>
          </c:xVal>
          <c:yVal>
            <c:numRef>
              <c:f>'Beispiel 3'!$Z$54</c:f>
              <c:numCache>
                <c:formatCode>General</c:formatCode>
                <c:ptCount val="1"/>
                <c:pt idx="0">
                  <c:v>3.8449999999999998</c:v>
                </c:pt>
              </c:numCache>
            </c:numRef>
          </c:yVal>
          <c:smooth val="0"/>
          <c:extLst>
            <c:ext xmlns:c16="http://schemas.microsoft.com/office/drawing/2014/chart" uri="{C3380CC4-5D6E-409C-BE32-E72D297353CC}">
              <c16:uniqueId val="{00000037-B524-4533-8BA0-8B5F759B5841}"/>
            </c:ext>
          </c:extLst>
        </c:ser>
        <c:ser>
          <c:idx val="10"/>
          <c:order val="15"/>
          <c:tx>
            <c:v>Bearing Slab 02 Hinged</c:v>
          </c:tx>
          <c:spPr>
            <a:ln w="19050" cap="rnd">
              <a:solidFill>
                <a:schemeClr val="accent5">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3'!$AA$53</c:f>
              <c:numCache>
                <c:formatCode>General</c:formatCode>
                <c:ptCount val="1"/>
                <c:pt idx="0">
                  <c:v>7.0875000000000004</c:v>
                </c:pt>
              </c:numCache>
            </c:numRef>
          </c:xVal>
          <c:yVal>
            <c:numRef>
              <c:f>'Beispiel 3'!$AA$54</c:f>
              <c:numCache>
                <c:formatCode>General</c:formatCode>
                <c:ptCount val="1"/>
                <c:pt idx="0">
                  <c:v>-5</c:v>
                </c:pt>
              </c:numCache>
            </c:numRef>
          </c:yVal>
          <c:smooth val="0"/>
          <c:extLst>
            <c:ext xmlns:c16="http://schemas.microsoft.com/office/drawing/2014/chart" uri="{C3380CC4-5D6E-409C-BE32-E72D297353CC}">
              <c16:uniqueId val="{00000038-B524-4533-8BA0-8B5F759B5841}"/>
            </c:ext>
          </c:extLst>
        </c:ser>
        <c:ser>
          <c:idx val="16"/>
          <c:order val="16"/>
          <c:tx>
            <c:v>Bearing Slab 03 Fixed</c:v>
          </c:tx>
          <c:spPr>
            <a:ln w="19050" cap="rnd">
              <a:solidFill>
                <a:schemeClr val="accent5">
                  <a:lumMod val="80000"/>
                  <a:lumOff val="2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3'!$Z$55</c:f>
              <c:numCache>
                <c:formatCode>General</c:formatCode>
                <c:ptCount val="1"/>
                <c:pt idx="0">
                  <c:v>-4.0875000000000004</c:v>
                </c:pt>
              </c:numCache>
            </c:numRef>
          </c:xVal>
          <c:yVal>
            <c:numRef>
              <c:f>'Beispiel 3'!$Z$56</c:f>
              <c:numCache>
                <c:formatCode>General</c:formatCode>
                <c:ptCount val="1"/>
                <c:pt idx="0">
                  <c:v>1</c:v>
                </c:pt>
              </c:numCache>
            </c:numRef>
          </c:yVal>
          <c:smooth val="0"/>
          <c:extLst>
            <c:ext xmlns:c16="http://schemas.microsoft.com/office/drawing/2014/chart" uri="{C3380CC4-5D6E-409C-BE32-E72D297353CC}">
              <c16:uniqueId val="{00000039-B524-4533-8BA0-8B5F759B5841}"/>
            </c:ext>
          </c:extLst>
        </c:ser>
        <c:ser>
          <c:idx val="17"/>
          <c:order val="17"/>
          <c:tx>
            <c:v>Bearing Slab 03 Hinged</c:v>
          </c:tx>
          <c:spPr>
            <a:ln w="19050" cap="rnd">
              <a:solidFill>
                <a:schemeClr val="accent6">
                  <a:lumMod val="80000"/>
                  <a:lumOff val="2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3'!$AA$55</c:f>
              <c:numCache>
                <c:formatCode>General</c:formatCode>
                <c:ptCount val="1"/>
                <c:pt idx="0">
                  <c:v>-4.0875000000000004</c:v>
                </c:pt>
              </c:numCache>
            </c:numRef>
          </c:xVal>
          <c:yVal>
            <c:numRef>
              <c:f>'Beispiel 3'!$AA$56</c:f>
              <c:numCache>
                <c:formatCode>General</c:formatCode>
                <c:ptCount val="1"/>
                <c:pt idx="0">
                  <c:v>-5</c:v>
                </c:pt>
              </c:numCache>
            </c:numRef>
          </c:yVal>
          <c:smooth val="0"/>
          <c:extLst>
            <c:ext xmlns:c16="http://schemas.microsoft.com/office/drawing/2014/chart" uri="{C3380CC4-5D6E-409C-BE32-E72D297353CC}">
              <c16:uniqueId val="{0000003A-B524-4533-8BA0-8B5F759B5841}"/>
            </c:ext>
          </c:extLst>
        </c:ser>
        <c:ser>
          <c:idx val="18"/>
          <c:order val="18"/>
          <c:tx>
            <c:v>Bearing Slab 04 Fixed</c:v>
          </c:tx>
          <c:spPr>
            <a:ln w="19050" cap="rnd">
              <a:solidFill>
                <a:schemeClr val="accent1">
                  <a:lumMod val="8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3'!$Z$57</c:f>
              <c:numCache>
                <c:formatCode>General</c:formatCode>
                <c:ptCount val="1"/>
                <c:pt idx="0">
                  <c:v>-4.0875000000000004</c:v>
                </c:pt>
              </c:numCache>
            </c:numRef>
          </c:xVal>
          <c:yVal>
            <c:numRef>
              <c:f>'Beispiel 3'!$Z$58</c:f>
              <c:numCache>
                <c:formatCode>General</c:formatCode>
                <c:ptCount val="1"/>
                <c:pt idx="0">
                  <c:v>3.8449999999999998</c:v>
                </c:pt>
              </c:numCache>
            </c:numRef>
          </c:yVal>
          <c:smooth val="0"/>
          <c:extLst>
            <c:ext xmlns:c16="http://schemas.microsoft.com/office/drawing/2014/chart" uri="{C3380CC4-5D6E-409C-BE32-E72D297353CC}">
              <c16:uniqueId val="{0000003B-B524-4533-8BA0-8B5F759B5841}"/>
            </c:ext>
          </c:extLst>
        </c:ser>
        <c:ser>
          <c:idx val="19"/>
          <c:order val="19"/>
          <c:tx>
            <c:v>Bearing Slab 04 Hinged</c:v>
          </c:tx>
          <c:spPr>
            <a:ln w="19050" cap="rnd">
              <a:solidFill>
                <a:schemeClr val="accent2">
                  <a:lumMod val="8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3'!$AA$57</c:f>
              <c:numCache>
                <c:formatCode>General</c:formatCode>
                <c:ptCount val="1"/>
                <c:pt idx="0">
                  <c:v>-4.0875000000000004</c:v>
                </c:pt>
              </c:numCache>
            </c:numRef>
          </c:xVal>
          <c:yVal>
            <c:numRef>
              <c:f>'Beispiel 3'!$AA$58</c:f>
              <c:numCache>
                <c:formatCode>General</c:formatCode>
                <c:ptCount val="1"/>
                <c:pt idx="0">
                  <c:v>-5</c:v>
                </c:pt>
              </c:numCache>
            </c:numRef>
          </c:yVal>
          <c:smooth val="0"/>
          <c:extLst>
            <c:ext xmlns:c16="http://schemas.microsoft.com/office/drawing/2014/chart" uri="{C3380CC4-5D6E-409C-BE32-E72D297353CC}">
              <c16:uniqueId val="{0000003C-B524-4533-8BA0-8B5F759B5841}"/>
            </c:ext>
          </c:extLst>
        </c:ser>
        <c:dLbls>
          <c:showLegendKey val="0"/>
          <c:showVal val="1"/>
          <c:showCatName val="0"/>
          <c:showSerName val="0"/>
          <c:showPercent val="0"/>
          <c:showBubbleSize val="0"/>
        </c:dLbls>
        <c:axId val="467690536"/>
        <c:axId val="467692104"/>
      </c:scatterChart>
      <c:valAx>
        <c:axId val="467690536"/>
        <c:scaling>
          <c:orientation val="minMax"/>
        </c:scaling>
        <c:delete val="0"/>
        <c:axPos val="b"/>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92104"/>
        <c:crosses val="autoZero"/>
        <c:crossBetween val="midCat"/>
        <c:majorUnit val="2"/>
      </c:valAx>
      <c:valAx>
        <c:axId val="467692104"/>
        <c:scaling>
          <c:orientation val="minMax"/>
          <c:min val="0"/>
        </c:scaling>
        <c:delete val="0"/>
        <c:axPos val="l"/>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90536"/>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30873015873016E-2"/>
          <c:y val="4.8506944444444443E-2"/>
          <c:w val="0.85232460317460312"/>
          <c:h val="0.77683159722222206"/>
        </c:manualLayout>
      </c:layout>
      <c:scatterChart>
        <c:scatterStyle val="lineMarker"/>
        <c:varyColors val="0"/>
        <c:ser>
          <c:idx val="3"/>
          <c:order val="0"/>
          <c:tx>
            <c:strRef>
              <c:f>'Beispiel 3'!$T$67</c:f>
              <c:strCache>
                <c:ptCount val="1"/>
                <c:pt idx="0">
                  <c:v>Outline</c:v>
                </c:pt>
              </c:strCache>
            </c:strRef>
          </c:tx>
          <c:spPr>
            <a:ln w="19050" cap="rnd">
              <a:noFill/>
              <a:round/>
            </a:ln>
            <a:effectLst/>
          </c:spPr>
          <c:marker>
            <c:symbol val="none"/>
          </c:marker>
          <c:xVal>
            <c:numRef>
              <c:f>'Beispiel 3'!$V$67:$W$67</c:f>
              <c:numCache>
                <c:formatCode>0.00</c:formatCode>
                <c:ptCount val="2"/>
                <c:pt idx="0">
                  <c:v>0.66602619157699494</c:v>
                </c:pt>
                <c:pt idx="1">
                  <c:v>-0.66602619157699494</c:v>
                </c:pt>
              </c:numCache>
            </c:numRef>
          </c:xVal>
          <c:yVal>
            <c:numRef>
              <c:f>'Beispiel 3'!$V$68:$W$68</c:f>
              <c:numCache>
                <c:formatCode>0.00</c:formatCode>
                <c:ptCount val="2"/>
                <c:pt idx="0">
                  <c:v>2.645</c:v>
                </c:pt>
                <c:pt idx="1">
                  <c:v>2.645</c:v>
                </c:pt>
              </c:numCache>
            </c:numRef>
          </c:yVal>
          <c:smooth val="0"/>
          <c:extLst>
            <c:ext xmlns:c16="http://schemas.microsoft.com/office/drawing/2014/chart" uri="{C3380CC4-5D6E-409C-BE32-E72D297353CC}">
              <c16:uniqueId val="{00000000-3258-411F-BA0D-4BF5B8586A3D}"/>
            </c:ext>
          </c:extLst>
        </c:ser>
        <c:ser>
          <c:idx val="4"/>
          <c:order val="1"/>
          <c:tx>
            <c:strRef>
              <c:f>'Beispiel 3'!$T$70</c:f>
              <c:strCache>
                <c:ptCount val="1"/>
                <c:pt idx="0">
                  <c:v>Wall</c:v>
                </c:pt>
              </c:strCache>
            </c:strRef>
          </c:tx>
          <c:spPr>
            <a:ln w="19050" cap="rnd">
              <a:solidFill>
                <a:sysClr val="windowText" lastClr="000000"/>
              </a:solidFill>
              <a:round/>
            </a:ln>
            <a:effectLst/>
          </c:spPr>
          <c:marker>
            <c:symbol val="none"/>
          </c:marker>
          <c:xVal>
            <c:numRef>
              <c:f>'Beispiel 3'!$V$70:$W$70</c:f>
              <c:numCache>
                <c:formatCode>0.00</c:formatCode>
                <c:ptCount val="2"/>
                <c:pt idx="0">
                  <c:v>0</c:v>
                </c:pt>
                <c:pt idx="1">
                  <c:v>0</c:v>
                </c:pt>
              </c:numCache>
            </c:numRef>
          </c:xVal>
          <c:yVal>
            <c:numRef>
              <c:f>'Beispiel 3'!$V$71:$W$71</c:f>
              <c:numCache>
                <c:formatCode>0.00</c:formatCode>
                <c:ptCount val="2"/>
                <c:pt idx="0">
                  <c:v>0</c:v>
                </c:pt>
                <c:pt idx="1">
                  <c:v>2.645</c:v>
                </c:pt>
              </c:numCache>
            </c:numRef>
          </c:yVal>
          <c:smooth val="0"/>
          <c:extLst>
            <c:ext xmlns:c16="http://schemas.microsoft.com/office/drawing/2014/chart" uri="{C3380CC4-5D6E-409C-BE32-E72D297353CC}">
              <c16:uniqueId val="{00000001-3258-411F-BA0D-4BF5B8586A3D}"/>
            </c:ext>
          </c:extLst>
        </c:ser>
        <c:ser>
          <c:idx val="5"/>
          <c:order val="2"/>
          <c:tx>
            <c:strRef>
              <c:f>'Beispiel 3'!$T$63</c:f>
              <c:strCache>
                <c:ptCount val="1"/>
                <c:pt idx="0">
                  <c:v>Slab rotation</c:v>
                </c:pt>
              </c:strCache>
            </c:strRef>
          </c:tx>
          <c:spPr>
            <a:ln w="19050" cap="rnd">
              <a:solidFill>
                <a:schemeClr val="accent2"/>
              </a:solidFill>
              <a:round/>
            </a:ln>
            <a:effectLst/>
          </c:spPr>
          <c:marker>
            <c:symbol val="none"/>
          </c:marker>
          <c:xVal>
            <c:numRef>
              <c:f>'Beispiel 3'!$V$64:$Y$64</c:f>
              <c:numCache>
                <c:formatCode>0.00</c:formatCode>
                <c:ptCount val="4"/>
                <c:pt idx="0">
                  <c:v>0</c:v>
                </c:pt>
                <c:pt idx="1">
                  <c:v>-0.5791532100669522</c:v>
                </c:pt>
                <c:pt idx="2">
                  <c:v>-0.5791532100669522</c:v>
                </c:pt>
                <c:pt idx="3">
                  <c:v>0</c:v>
                </c:pt>
              </c:numCache>
            </c:numRef>
          </c:xVal>
          <c:yVal>
            <c:numRef>
              <c:f>'Beispiel 3'!$V$65:$Y$65</c:f>
              <c:numCache>
                <c:formatCode>0.00</c:formatCode>
                <c:ptCount val="4"/>
                <c:pt idx="0">
                  <c:v>0</c:v>
                </c:pt>
                <c:pt idx="1">
                  <c:v>0</c:v>
                </c:pt>
                <c:pt idx="2">
                  <c:v>2.645</c:v>
                </c:pt>
                <c:pt idx="3">
                  <c:v>2.645</c:v>
                </c:pt>
              </c:numCache>
            </c:numRef>
          </c:yVal>
          <c:smooth val="0"/>
          <c:extLst>
            <c:ext xmlns:c16="http://schemas.microsoft.com/office/drawing/2014/chart" uri="{C3380CC4-5D6E-409C-BE32-E72D297353CC}">
              <c16:uniqueId val="{00000002-3258-411F-BA0D-4BF5B8586A3D}"/>
            </c:ext>
          </c:extLst>
        </c:ser>
        <c:ser>
          <c:idx val="1"/>
          <c:order val="3"/>
          <c:tx>
            <c:strRef>
              <c:f>'Beispiel 3'!$T$67</c:f>
              <c:strCache>
                <c:ptCount val="1"/>
                <c:pt idx="0">
                  <c:v>Outline</c:v>
                </c:pt>
              </c:strCache>
            </c:strRef>
          </c:tx>
          <c:spPr>
            <a:ln w="19050" cap="rnd">
              <a:noFill/>
              <a:round/>
            </a:ln>
            <a:effectLst/>
          </c:spPr>
          <c:marker>
            <c:symbol val="none"/>
          </c:marker>
          <c:xVal>
            <c:numRef>
              <c:f>'Beispiel 3'!$V$67:$W$67</c:f>
              <c:numCache>
                <c:formatCode>0.00</c:formatCode>
                <c:ptCount val="2"/>
                <c:pt idx="0">
                  <c:v>0.66602619157699494</c:v>
                </c:pt>
                <c:pt idx="1">
                  <c:v>-0.66602619157699494</c:v>
                </c:pt>
              </c:numCache>
            </c:numRef>
          </c:xVal>
          <c:yVal>
            <c:numRef>
              <c:f>'Beispiel 3'!$V$68:$W$68</c:f>
              <c:numCache>
                <c:formatCode>0.00</c:formatCode>
                <c:ptCount val="2"/>
                <c:pt idx="0">
                  <c:v>2.645</c:v>
                </c:pt>
                <c:pt idx="1">
                  <c:v>2.645</c:v>
                </c:pt>
              </c:numCache>
            </c:numRef>
          </c:yVal>
          <c:smooth val="0"/>
          <c:extLst>
            <c:ext xmlns:c16="http://schemas.microsoft.com/office/drawing/2014/chart" uri="{C3380CC4-5D6E-409C-BE32-E72D297353CC}">
              <c16:uniqueId val="{00000003-3258-411F-BA0D-4BF5B8586A3D}"/>
            </c:ext>
          </c:extLst>
        </c:ser>
        <c:ser>
          <c:idx val="2"/>
          <c:order val="4"/>
          <c:tx>
            <c:strRef>
              <c:f>'Beispiel 3'!$T$70</c:f>
              <c:strCache>
                <c:ptCount val="1"/>
                <c:pt idx="0">
                  <c:v>Wall</c:v>
                </c:pt>
              </c:strCache>
            </c:strRef>
          </c:tx>
          <c:spPr>
            <a:ln w="19050" cap="rnd">
              <a:solidFill>
                <a:sysClr val="windowText" lastClr="000000"/>
              </a:solidFill>
              <a:round/>
            </a:ln>
            <a:effectLst/>
          </c:spPr>
          <c:marker>
            <c:symbol val="none"/>
          </c:marker>
          <c:xVal>
            <c:numRef>
              <c:f>'Beispiel 3'!$V$70:$W$70</c:f>
              <c:numCache>
                <c:formatCode>0.00</c:formatCode>
                <c:ptCount val="2"/>
                <c:pt idx="0">
                  <c:v>0</c:v>
                </c:pt>
                <c:pt idx="1">
                  <c:v>0</c:v>
                </c:pt>
              </c:numCache>
            </c:numRef>
          </c:xVal>
          <c:yVal>
            <c:numRef>
              <c:f>'Beispiel 3'!$V$71:$W$71</c:f>
              <c:numCache>
                <c:formatCode>0.00</c:formatCode>
                <c:ptCount val="2"/>
                <c:pt idx="0">
                  <c:v>0</c:v>
                </c:pt>
                <c:pt idx="1">
                  <c:v>2.645</c:v>
                </c:pt>
              </c:numCache>
            </c:numRef>
          </c:yVal>
          <c:smooth val="0"/>
          <c:extLst>
            <c:ext xmlns:c16="http://schemas.microsoft.com/office/drawing/2014/chart" uri="{C3380CC4-5D6E-409C-BE32-E72D297353CC}">
              <c16:uniqueId val="{00000004-3258-411F-BA0D-4BF5B8586A3D}"/>
            </c:ext>
          </c:extLst>
        </c:ser>
        <c:ser>
          <c:idx val="0"/>
          <c:order val="5"/>
          <c:tx>
            <c:strRef>
              <c:f>'Beispiel 3'!$T$63</c:f>
              <c:strCache>
                <c:ptCount val="1"/>
                <c:pt idx="0">
                  <c:v>Slab rotation</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5-3258-411F-BA0D-4BF5B8586A3D}"/>
                </c:ext>
              </c:extLst>
            </c:dLbl>
            <c:dLbl>
              <c:idx val="1"/>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258-411F-BA0D-4BF5B8586A3D}"/>
                </c:ext>
              </c:extLst>
            </c:dLbl>
            <c:dLbl>
              <c:idx val="2"/>
              <c:dLblPos val="l"/>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258-411F-BA0D-4BF5B8586A3D}"/>
                </c:ext>
              </c:extLst>
            </c:dLbl>
            <c:dLbl>
              <c:idx val="3"/>
              <c:delete val="1"/>
              <c:extLst>
                <c:ext xmlns:c15="http://schemas.microsoft.com/office/drawing/2012/chart" uri="{CE6537A1-D6FC-4f65-9D91-7224C49458BB}"/>
                <c:ext xmlns:c16="http://schemas.microsoft.com/office/drawing/2014/chart" uri="{C3380CC4-5D6E-409C-BE32-E72D297353CC}">
                  <c16:uniqueId val="{00000008-3258-411F-BA0D-4BF5B8586A3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3'!$V$64:$Y$64</c:f>
              <c:numCache>
                <c:formatCode>0.00</c:formatCode>
                <c:ptCount val="4"/>
                <c:pt idx="0">
                  <c:v>0</c:v>
                </c:pt>
                <c:pt idx="1">
                  <c:v>-0.5791532100669522</c:v>
                </c:pt>
                <c:pt idx="2">
                  <c:v>-0.5791532100669522</c:v>
                </c:pt>
                <c:pt idx="3">
                  <c:v>0</c:v>
                </c:pt>
              </c:numCache>
            </c:numRef>
          </c:xVal>
          <c:yVal>
            <c:numRef>
              <c:f>'Beispiel 3'!$V$65:$Y$65</c:f>
              <c:numCache>
                <c:formatCode>0.00</c:formatCode>
                <c:ptCount val="4"/>
                <c:pt idx="0">
                  <c:v>0</c:v>
                </c:pt>
                <c:pt idx="1">
                  <c:v>0</c:v>
                </c:pt>
                <c:pt idx="2">
                  <c:v>2.645</c:v>
                </c:pt>
                <c:pt idx="3">
                  <c:v>2.645</c:v>
                </c:pt>
              </c:numCache>
            </c:numRef>
          </c:yVal>
          <c:smooth val="0"/>
          <c:extLst>
            <c:ext xmlns:c16="http://schemas.microsoft.com/office/drawing/2014/chart" uri="{C3380CC4-5D6E-409C-BE32-E72D297353CC}">
              <c16:uniqueId val="{00000009-3258-411F-BA0D-4BF5B8586A3D}"/>
            </c:ext>
          </c:extLst>
        </c:ser>
        <c:dLbls>
          <c:showLegendKey val="0"/>
          <c:showVal val="0"/>
          <c:showCatName val="0"/>
          <c:showSerName val="0"/>
          <c:showPercent val="0"/>
          <c:showBubbleSize val="0"/>
        </c:dLbls>
        <c:axId val="467687792"/>
        <c:axId val="467686224"/>
      </c:scatterChart>
      <c:valAx>
        <c:axId val="46768779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AT" b="1">
                    <a:solidFill>
                      <a:sysClr val="windowText" lastClr="000000"/>
                    </a:solidFill>
                  </a:rPr>
                  <a:t>Biegemoment durch Deckenverdrehung </a:t>
                </a:r>
                <a:r>
                  <a:rPr lang="de-AT" b="1" baseline="0">
                    <a:solidFill>
                      <a:sysClr val="windowText" lastClr="000000"/>
                    </a:solidFill>
                  </a:rPr>
                  <a:t>[kNm/m]</a:t>
                </a:r>
                <a:endParaRPr lang="de-AT"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in"/>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6224"/>
        <c:crosses val="autoZero"/>
        <c:crossBetween val="midCat"/>
      </c:valAx>
      <c:valAx>
        <c:axId val="467686224"/>
        <c:scaling>
          <c:orientation val="minMax"/>
          <c:min val="0"/>
        </c:scaling>
        <c:delete val="0"/>
        <c:axPos val="l"/>
        <c:numFmt formatCode="0.00" sourceLinked="1"/>
        <c:majorTickMark val="cross"/>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7792"/>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76960125828646"/>
          <c:y val="3.2590766423307667E-2"/>
          <c:w val="0.64086199280008271"/>
          <c:h val="0.78598050753298632"/>
        </c:manualLayout>
      </c:layout>
      <c:scatterChart>
        <c:scatterStyle val="smoothMarker"/>
        <c:varyColors val="0"/>
        <c:ser>
          <c:idx val="0"/>
          <c:order val="0"/>
          <c:tx>
            <c:v>NRd Kopf</c:v>
          </c:tx>
          <c:spPr>
            <a:ln w="25400" cap="rnd">
              <a:solidFill>
                <a:schemeClr val="accent1"/>
              </a:solidFill>
              <a:prstDash val="dash"/>
              <a:round/>
            </a:ln>
            <a:effectLst/>
          </c:spPr>
          <c:marker>
            <c:symbol val="none"/>
          </c:marker>
          <c:xVal>
            <c:numRef>
              <c:f>'Beispiel 3'!$W$100:$W$202</c:f>
              <c:numCache>
                <c:formatCode>General</c:formatCode>
                <c:ptCount val="103"/>
                <c:pt idx="0">
                  <c:v>0</c:v>
                </c:pt>
                <c:pt idx="1">
                  <c:v>0</c:v>
                </c:pt>
                <c:pt idx="2">
                  <c:v>0.37602503999999998</c:v>
                </c:pt>
                <c:pt idx="3">
                  <c:v>0.74522016000000002</c:v>
                </c:pt>
                <c:pt idx="4">
                  <c:v>1.1075853599999999</c:v>
                </c:pt>
                <c:pt idx="5">
                  <c:v>1.4631206399999999</c:v>
                </c:pt>
                <c:pt idx="6">
                  <c:v>1.8118259999999999</c:v>
                </c:pt>
                <c:pt idx="7">
                  <c:v>2.1537014399999999</c:v>
                </c:pt>
                <c:pt idx="8">
                  <c:v>2.4887469599999998</c:v>
                </c:pt>
                <c:pt idx="9">
                  <c:v>2.8169625599999999</c:v>
                </c:pt>
                <c:pt idx="10">
                  <c:v>3.1383482399999996</c:v>
                </c:pt>
                <c:pt idx="11">
                  <c:v>3.4529039999999998</c:v>
                </c:pt>
                <c:pt idx="12">
                  <c:v>3.7606298399999996</c:v>
                </c:pt>
                <c:pt idx="13">
                  <c:v>4.0615257599999994</c:v>
                </c:pt>
                <c:pt idx="14">
                  <c:v>4.3555917600000003</c:v>
                </c:pt>
                <c:pt idx="15">
                  <c:v>4.6428278399999998</c:v>
                </c:pt>
                <c:pt idx="16">
                  <c:v>4.9232339999999999</c:v>
                </c:pt>
                <c:pt idx="17">
                  <c:v>5.1968102399999996</c:v>
                </c:pt>
                <c:pt idx="18">
                  <c:v>5.4635565599999998</c:v>
                </c:pt>
                <c:pt idx="19">
                  <c:v>5.7234729599999996</c:v>
                </c:pt>
                <c:pt idx="20">
                  <c:v>5.9765594399999999</c:v>
                </c:pt>
                <c:pt idx="21">
                  <c:v>6.2228159999999999</c:v>
                </c:pt>
                <c:pt idx="22">
                  <c:v>6.4622426399999995</c:v>
                </c:pt>
                <c:pt idx="23">
                  <c:v>6.6948393599999987</c:v>
                </c:pt>
                <c:pt idx="24">
                  <c:v>6.9206061599999993</c:v>
                </c:pt>
                <c:pt idx="25">
                  <c:v>7.1395430399999986</c:v>
                </c:pt>
                <c:pt idx="26">
                  <c:v>7.3516499999999994</c:v>
                </c:pt>
                <c:pt idx="27">
                  <c:v>7.5569270400000006</c:v>
                </c:pt>
                <c:pt idx="28">
                  <c:v>7.7553741600000015</c:v>
                </c:pt>
                <c:pt idx="29">
                  <c:v>7.9469913599999993</c:v>
                </c:pt>
                <c:pt idx="30">
                  <c:v>8.1317786399999985</c:v>
                </c:pt>
                <c:pt idx="31">
                  <c:v>8.3097359999999991</c:v>
                </c:pt>
                <c:pt idx="32">
                  <c:v>8.4808634399999985</c:v>
                </c:pt>
                <c:pt idx="33">
                  <c:v>8.6451609599999983</c:v>
                </c:pt>
                <c:pt idx="34">
                  <c:v>8.8026285599999987</c:v>
                </c:pt>
                <c:pt idx="35">
                  <c:v>8.9532662399999996</c:v>
                </c:pt>
                <c:pt idx="36">
                  <c:v>9.0970739999999992</c:v>
                </c:pt>
                <c:pt idx="37">
                  <c:v>9.2340518399999993</c:v>
                </c:pt>
                <c:pt idx="38">
                  <c:v>9.36419976</c:v>
                </c:pt>
                <c:pt idx="39">
                  <c:v>9.4875177599999994</c:v>
                </c:pt>
                <c:pt idx="40">
                  <c:v>9.604005840000001</c:v>
                </c:pt>
                <c:pt idx="41">
                  <c:v>9.7136640000000014</c:v>
                </c:pt>
                <c:pt idx="42">
                  <c:v>9.8164922400000005</c:v>
                </c:pt>
                <c:pt idx="43">
                  <c:v>9.9124905600000002</c:v>
                </c:pt>
                <c:pt idx="44">
                  <c:v>10.00165896</c:v>
                </c:pt>
                <c:pt idx="45">
                  <c:v>10.083997439999999</c:v>
                </c:pt>
                <c:pt idx="46">
                  <c:v>10.159505999999999</c:v>
                </c:pt>
                <c:pt idx="47">
                  <c:v>10.228184639999998</c:v>
                </c:pt>
                <c:pt idx="48">
                  <c:v>10.290033360000001</c:v>
                </c:pt>
                <c:pt idx="49">
                  <c:v>10.345052159999998</c:v>
                </c:pt>
                <c:pt idx="50">
                  <c:v>10.393241039999999</c:v>
                </c:pt>
                <c:pt idx="51">
                  <c:v>10.4346</c:v>
                </c:pt>
                <c:pt idx="52">
                  <c:v>10.46912904</c:v>
                </c:pt>
                <c:pt idx="53">
                  <c:v>10.49682816</c:v>
                </c:pt>
                <c:pt idx="54">
                  <c:v>10.51769736</c:v>
                </c:pt>
                <c:pt idx="55">
                  <c:v>10.53173664</c:v>
                </c:pt>
                <c:pt idx="56">
                  <c:v>10.538945999999999</c:v>
                </c:pt>
                <c:pt idx="57">
                  <c:v>10.539325439999999</c:v>
                </c:pt>
                <c:pt idx="58">
                  <c:v>10.532874959999999</c:v>
                </c:pt>
                <c:pt idx="59">
                  <c:v>10.519594559999998</c:v>
                </c:pt>
                <c:pt idx="60">
                  <c:v>10.499484239999999</c:v>
                </c:pt>
                <c:pt idx="61">
                  <c:v>10.472543999999999</c:v>
                </c:pt>
                <c:pt idx="62">
                  <c:v>10.43877384</c:v>
                </c:pt>
                <c:pt idx="63">
                  <c:v>10.398173760000001</c:v>
                </c:pt>
                <c:pt idx="64">
                  <c:v>10.35074376</c:v>
                </c:pt>
                <c:pt idx="65">
                  <c:v>10.296483839999999</c:v>
                </c:pt>
                <c:pt idx="66">
                  <c:v>10.235393999999999</c:v>
                </c:pt>
                <c:pt idx="67">
                  <c:v>10.167474240000001</c:v>
                </c:pt>
                <c:pt idx="68">
                  <c:v>10.092724560000001</c:v>
                </c:pt>
                <c:pt idx="69">
                  <c:v>10.011144960000001</c:v>
                </c:pt>
                <c:pt idx="70">
                  <c:v>9.9227354400000038</c:v>
                </c:pt>
                <c:pt idx="71">
                  <c:v>9.827496</c:v>
                </c:pt>
                <c:pt idx="72">
                  <c:v>9.7254266399999985</c:v>
                </c:pt>
                <c:pt idx="73">
                  <c:v>9.6165273599999992</c:v>
                </c:pt>
                <c:pt idx="74">
                  <c:v>9.5007981600000004</c:v>
                </c:pt>
                <c:pt idx="75">
                  <c:v>9.3782390400000004</c:v>
                </c:pt>
                <c:pt idx="76">
                  <c:v>9.2488500000000009</c:v>
                </c:pt>
                <c:pt idx="77">
                  <c:v>9.1126310400000019</c:v>
                </c:pt>
                <c:pt idx="78">
                  <c:v>8.9695821599999999</c:v>
                </c:pt>
                <c:pt idx="79">
                  <c:v>8.8197033600000001</c:v>
                </c:pt>
                <c:pt idx="80">
                  <c:v>8.6629946400000009</c:v>
                </c:pt>
                <c:pt idx="81">
                  <c:v>8.4994560000000021</c:v>
                </c:pt>
                <c:pt idx="82">
                  <c:v>8.3290874400000021</c:v>
                </c:pt>
                <c:pt idx="83">
                  <c:v>8.1518889600000026</c:v>
                </c:pt>
                <c:pt idx="84">
                  <c:v>7.9678605600000019</c:v>
                </c:pt>
                <c:pt idx="85">
                  <c:v>7.7770022399999998</c:v>
                </c:pt>
                <c:pt idx="86">
                  <c:v>7.5793140000000001</c:v>
                </c:pt>
                <c:pt idx="87">
                  <c:v>7.3747958400000044</c:v>
                </c:pt>
                <c:pt idx="88">
                  <c:v>7.1634477600000022</c:v>
                </c:pt>
                <c:pt idx="89">
                  <c:v>6.9452697600000022</c:v>
                </c:pt>
                <c:pt idx="90">
                  <c:v>6.72026184</c:v>
                </c:pt>
                <c:pt idx="91">
                  <c:v>6.4884240000000002</c:v>
                </c:pt>
                <c:pt idx="92">
                  <c:v>6.2497562399999973</c:v>
                </c:pt>
                <c:pt idx="93">
                  <c:v>6.0042585600000011</c:v>
                </c:pt>
                <c:pt idx="94">
                  <c:v>5.7519309599999993</c:v>
                </c:pt>
                <c:pt idx="95">
                  <c:v>5.4927734400000059</c:v>
                </c:pt>
                <c:pt idx="96">
                  <c:v>5.2267860000000033</c:v>
                </c:pt>
                <c:pt idx="97">
                  <c:v>4.9539686400000038</c:v>
                </c:pt>
                <c:pt idx="98">
                  <c:v>4.6743213600000013</c:v>
                </c:pt>
                <c:pt idx="99">
                  <c:v>4.3878441600000011</c:v>
                </c:pt>
                <c:pt idx="100">
                  <c:v>4.0945370399999987</c:v>
                </c:pt>
                <c:pt idx="101">
                  <c:v>3.7944000000000031</c:v>
                </c:pt>
                <c:pt idx="102">
                  <c:v>0</c:v>
                </c:pt>
              </c:numCache>
            </c:numRef>
          </c:xVal>
          <c:yVal>
            <c:numRef>
              <c:f>'Beispiel 3'!$U$100:$U$202</c:f>
              <c:numCache>
                <c:formatCode>General</c:formatCode>
                <c:ptCount val="103"/>
                <c:pt idx="0">
                  <c:v>0</c:v>
                </c:pt>
                <c:pt idx="1">
                  <c:v>0</c:v>
                </c:pt>
                <c:pt idx="2">
                  <c:v>3.1619999999999999</c:v>
                </c:pt>
                <c:pt idx="3">
                  <c:v>6.3239999999999998</c:v>
                </c:pt>
                <c:pt idx="4">
                  <c:v>9.4859999999999989</c:v>
                </c:pt>
                <c:pt idx="5">
                  <c:v>12.648</c:v>
                </c:pt>
                <c:pt idx="6">
                  <c:v>15.81</c:v>
                </c:pt>
                <c:pt idx="7">
                  <c:v>18.971999999999998</c:v>
                </c:pt>
                <c:pt idx="8">
                  <c:v>22.134</c:v>
                </c:pt>
                <c:pt idx="9">
                  <c:v>25.295999999999999</c:v>
                </c:pt>
                <c:pt idx="10">
                  <c:v>28.457999999999998</c:v>
                </c:pt>
                <c:pt idx="11">
                  <c:v>31.62</c:v>
                </c:pt>
                <c:pt idx="12">
                  <c:v>34.781999999999996</c:v>
                </c:pt>
                <c:pt idx="13">
                  <c:v>37.943999999999996</c:v>
                </c:pt>
                <c:pt idx="14">
                  <c:v>41.106000000000002</c:v>
                </c:pt>
                <c:pt idx="15">
                  <c:v>44.268000000000001</c:v>
                </c:pt>
                <c:pt idx="16">
                  <c:v>47.43</c:v>
                </c:pt>
                <c:pt idx="17">
                  <c:v>50.591999999999999</c:v>
                </c:pt>
                <c:pt idx="18">
                  <c:v>53.754000000000005</c:v>
                </c:pt>
                <c:pt idx="19">
                  <c:v>56.915999999999997</c:v>
                </c:pt>
                <c:pt idx="20">
                  <c:v>60.077999999999996</c:v>
                </c:pt>
                <c:pt idx="21">
                  <c:v>63.24</c:v>
                </c:pt>
                <c:pt idx="22">
                  <c:v>66.402000000000001</c:v>
                </c:pt>
                <c:pt idx="23">
                  <c:v>69.563999999999993</c:v>
                </c:pt>
                <c:pt idx="24">
                  <c:v>72.725999999999999</c:v>
                </c:pt>
                <c:pt idx="25">
                  <c:v>75.887999999999991</c:v>
                </c:pt>
                <c:pt idx="26">
                  <c:v>79.05</c:v>
                </c:pt>
                <c:pt idx="27">
                  <c:v>82.212000000000003</c:v>
                </c:pt>
                <c:pt idx="28">
                  <c:v>85.374000000000009</c:v>
                </c:pt>
                <c:pt idx="29">
                  <c:v>88.536000000000001</c:v>
                </c:pt>
                <c:pt idx="30">
                  <c:v>91.697999999999993</c:v>
                </c:pt>
                <c:pt idx="31">
                  <c:v>94.86</c:v>
                </c:pt>
                <c:pt idx="32">
                  <c:v>98.021999999999991</c:v>
                </c:pt>
                <c:pt idx="33">
                  <c:v>101.184</c:v>
                </c:pt>
                <c:pt idx="34">
                  <c:v>104.346</c:v>
                </c:pt>
                <c:pt idx="35">
                  <c:v>107.50800000000001</c:v>
                </c:pt>
                <c:pt idx="36">
                  <c:v>110.66999999999999</c:v>
                </c:pt>
                <c:pt idx="37">
                  <c:v>113.83199999999999</c:v>
                </c:pt>
                <c:pt idx="38">
                  <c:v>116.994</c:v>
                </c:pt>
                <c:pt idx="39">
                  <c:v>120.15599999999999</c:v>
                </c:pt>
                <c:pt idx="40">
                  <c:v>123.318</c:v>
                </c:pt>
                <c:pt idx="41">
                  <c:v>126.48</c:v>
                </c:pt>
                <c:pt idx="42">
                  <c:v>129.642</c:v>
                </c:pt>
                <c:pt idx="43">
                  <c:v>132.804</c:v>
                </c:pt>
                <c:pt idx="44">
                  <c:v>135.96599999999998</c:v>
                </c:pt>
                <c:pt idx="45">
                  <c:v>139.12799999999999</c:v>
                </c:pt>
                <c:pt idx="46">
                  <c:v>142.29</c:v>
                </c:pt>
                <c:pt idx="47">
                  <c:v>145.452</c:v>
                </c:pt>
                <c:pt idx="48">
                  <c:v>148.61399999999998</c:v>
                </c:pt>
                <c:pt idx="49">
                  <c:v>151.77599999999998</c:v>
                </c:pt>
                <c:pt idx="50">
                  <c:v>154.93799999999999</c:v>
                </c:pt>
                <c:pt idx="51">
                  <c:v>158.1</c:v>
                </c:pt>
                <c:pt idx="52">
                  <c:v>161.262</c:v>
                </c:pt>
                <c:pt idx="53">
                  <c:v>164.42400000000001</c:v>
                </c:pt>
                <c:pt idx="54">
                  <c:v>167.58600000000001</c:v>
                </c:pt>
                <c:pt idx="55">
                  <c:v>170.74800000000002</c:v>
                </c:pt>
                <c:pt idx="56">
                  <c:v>173.91</c:v>
                </c:pt>
                <c:pt idx="57">
                  <c:v>177.072</c:v>
                </c:pt>
                <c:pt idx="58">
                  <c:v>180.23399999999998</c:v>
                </c:pt>
                <c:pt idx="59">
                  <c:v>183.39599999999999</c:v>
                </c:pt>
                <c:pt idx="60">
                  <c:v>186.55799999999999</c:v>
                </c:pt>
                <c:pt idx="61">
                  <c:v>189.72</c:v>
                </c:pt>
                <c:pt idx="62">
                  <c:v>192.88199999999998</c:v>
                </c:pt>
                <c:pt idx="63">
                  <c:v>196.04399999999998</c:v>
                </c:pt>
                <c:pt idx="64">
                  <c:v>199.20599999999999</c:v>
                </c:pt>
                <c:pt idx="65">
                  <c:v>202.36799999999999</c:v>
                </c:pt>
                <c:pt idx="66">
                  <c:v>205.53</c:v>
                </c:pt>
                <c:pt idx="67">
                  <c:v>208.69200000000001</c:v>
                </c:pt>
                <c:pt idx="68">
                  <c:v>211.85400000000001</c:v>
                </c:pt>
                <c:pt idx="69">
                  <c:v>215.01600000000002</c:v>
                </c:pt>
                <c:pt idx="70">
                  <c:v>218.17799999999997</c:v>
                </c:pt>
                <c:pt idx="71">
                  <c:v>221.33999999999997</c:v>
                </c:pt>
                <c:pt idx="72">
                  <c:v>224.50199999999998</c:v>
                </c:pt>
                <c:pt idx="73">
                  <c:v>227.66399999999999</c:v>
                </c:pt>
                <c:pt idx="74">
                  <c:v>230.82599999999999</c:v>
                </c:pt>
                <c:pt idx="75">
                  <c:v>233.988</c:v>
                </c:pt>
                <c:pt idx="76">
                  <c:v>237.14999999999998</c:v>
                </c:pt>
                <c:pt idx="77">
                  <c:v>240.31199999999998</c:v>
                </c:pt>
                <c:pt idx="78">
                  <c:v>243.47399999999999</c:v>
                </c:pt>
                <c:pt idx="79">
                  <c:v>246.636</c:v>
                </c:pt>
                <c:pt idx="80">
                  <c:v>249.798</c:v>
                </c:pt>
                <c:pt idx="81">
                  <c:v>252.96</c:v>
                </c:pt>
                <c:pt idx="82">
                  <c:v>256.12200000000001</c:v>
                </c:pt>
                <c:pt idx="83">
                  <c:v>259.28399999999999</c:v>
                </c:pt>
                <c:pt idx="84">
                  <c:v>262.44599999999997</c:v>
                </c:pt>
                <c:pt idx="85">
                  <c:v>265.608</c:v>
                </c:pt>
                <c:pt idx="86">
                  <c:v>268.77</c:v>
                </c:pt>
                <c:pt idx="87">
                  <c:v>271.93199999999996</c:v>
                </c:pt>
                <c:pt idx="88">
                  <c:v>275.09399999999999</c:v>
                </c:pt>
                <c:pt idx="89">
                  <c:v>278.25599999999997</c:v>
                </c:pt>
                <c:pt idx="90">
                  <c:v>281.41800000000001</c:v>
                </c:pt>
                <c:pt idx="91">
                  <c:v>284.58</c:v>
                </c:pt>
                <c:pt idx="92">
                  <c:v>287.74200000000002</c:v>
                </c:pt>
                <c:pt idx="93">
                  <c:v>290.904</c:v>
                </c:pt>
                <c:pt idx="94">
                  <c:v>294.06600000000003</c:v>
                </c:pt>
                <c:pt idx="95">
                  <c:v>297.22799999999995</c:v>
                </c:pt>
                <c:pt idx="96">
                  <c:v>300.39</c:v>
                </c:pt>
                <c:pt idx="97">
                  <c:v>303.55199999999996</c:v>
                </c:pt>
                <c:pt idx="98">
                  <c:v>306.714</c:v>
                </c:pt>
                <c:pt idx="99">
                  <c:v>309.87599999999998</c:v>
                </c:pt>
                <c:pt idx="100">
                  <c:v>313.03800000000001</c:v>
                </c:pt>
                <c:pt idx="101">
                  <c:v>316.2</c:v>
                </c:pt>
                <c:pt idx="102">
                  <c:v>316.2</c:v>
                </c:pt>
              </c:numCache>
            </c:numRef>
          </c:yVal>
          <c:smooth val="1"/>
          <c:extLst>
            <c:ext xmlns:c16="http://schemas.microsoft.com/office/drawing/2014/chart" uri="{C3380CC4-5D6E-409C-BE32-E72D297353CC}">
              <c16:uniqueId val="{00000000-BE50-45B2-A8A0-30340CB72DF8}"/>
            </c:ext>
          </c:extLst>
        </c:ser>
        <c:ser>
          <c:idx val="2"/>
          <c:order val="1"/>
          <c:tx>
            <c:v>NRd Mitte</c:v>
          </c:tx>
          <c:spPr>
            <a:ln w="25400" cap="rnd">
              <a:solidFill>
                <a:schemeClr val="accent3">
                  <a:lumMod val="75000"/>
                </a:schemeClr>
              </a:solidFill>
              <a:prstDash val="lgDash"/>
              <a:round/>
            </a:ln>
            <a:effectLst/>
          </c:spPr>
          <c:marker>
            <c:symbol val="none"/>
          </c:marker>
          <c:xVal>
            <c:numRef>
              <c:f>'Beispiel 3'!$AH$100:$AH$202</c:f>
              <c:numCache>
                <c:formatCode>General</c:formatCode>
                <c:ptCount val="103"/>
                <c:pt idx="0">
                  <c:v>0</c:v>
                </c:pt>
                <c:pt idx="1">
                  <c:v>1.6870636742213583</c:v>
                </c:pt>
                <c:pt idx="2">
                  <c:v>1.6870636742213583</c:v>
                </c:pt>
                <c:pt idx="3">
                  <c:v>1.6870636742213583</c:v>
                </c:pt>
                <c:pt idx="4">
                  <c:v>1.6870636742213583</c:v>
                </c:pt>
                <c:pt idx="5">
                  <c:v>1.6870636742213583</c:v>
                </c:pt>
                <c:pt idx="6">
                  <c:v>1.6870636742213583</c:v>
                </c:pt>
                <c:pt idx="7">
                  <c:v>1.6870636742213583</c:v>
                </c:pt>
                <c:pt idx="8">
                  <c:v>1.6870636742213583</c:v>
                </c:pt>
                <c:pt idx="9">
                  <c:v>1.6870636742213583</c:v>
                </c:pt>
                <c:pt idx="10">
                  <c:v>1.6870636742213583</c:v>
                </c:pt>
                <c:pt idx="11">
                  <c:v>1.6870636742213583</c:v>
                </c:pt>
                <c:pt idx="12">
                  <c:v>1.8276606301851608</c:v>
                </c:pt>
                <c:pt idx="13">
                  <c:v>1.9631467840656294</c:v>
                </c:pt>
                <c:pt idx="14">
                  <c:v>2.0935221358627656</c:v>
                </c:pt>
                <c:pt idx="15">
                  <c:v>2.2187866855765686</c:v>
                </c:pt>
                <c:pt idx="16">
                  <c:v>2.3389404332070374</c:v>
                </c:pt>
                <c:pt idx="17">
                  <c:v>2.4539833787541729</c:v>
                </c:pt>
                <c:pt idx="18">
                  <c:v>2.5639155222179753</c:v>
                </c:pt>
                <c:pt idx="19">
                  <c:v>2.6687368635984443</c:v>
                </c:pt>
                <c:pt idx="20">
                  <c:v>2.7684474028955801</c:v>
                </c:pt>
                <c:pt idx="21">
                  <c:v>2.8630471401093822</c:v>
                </c:pt>
                <c:pt idx="22">
                  <c:v>2.952536075239852</c:v>
                </c:pt>
                <c:pt idx="23">
                  <c:v>3.0369142082869884</c:v>
                </c:pt>
                <c:pt idx="24">
                  <c:v>3.1161815392507903</c:v>
                </c:pt>
                <c:pt idx="25">
                  <c:v>3.1903380681312594</c:v>
                </c:pt>
                <c:pt idx="26">
                  <c:v>3.2593837949283957</c:v>
                </c:pt>
                <c:pt idx="27">
                  <c:v>3.3233187196421978</c:v>
                </c:pt>
                <c:pt idx="28">
                  <c:v>3.3821428422726671</c:v>
                </c:pt>
                <c:pt idx="29">
                  <c:v>3.4358561628198032</c:v>
                </c:pt>
                <c:pt idx="30">
                  <c:v>3.4844586812836047</c:v>
                </c:pt>
                <c:pt idx="31">
                  <c:v>3.5279503976640747</c:v>
                </c:pt>
                <c:pt idx="32">
                  <c:v>3.5663313119612101</c:v>
                </c:pt>
                <c:pt idx="33">
                  <c:v>3.5996014241750123</c:v>
                </c:pt>
                <c:pt idx="34">
                  <c:v>3.6277607343054812</c:v>
                </c:pt>
                <c:pt idx="35">
                  <c:v>3.6508092423526173</c:v>
                </c:pt>
                <c:pt idx="36">
                  <c:v>3.6687469483164201</c:v>
                </c:pt>
                <c:pt idx="37">
                  <c:v>3.6815738521968884</c:v>
                </c:pt>
                <c:pt idx="38">
                  <c:v>3.6892899539940247</c:v>
                </c:pt>
                <c:pt idx="39">
                  <c:v>3.6918952537078287</c:v>
                </c:pt>
                <c:pt idx="40">
                  <c:v>3.6893897513382967</c:v>
                </c:pt>
                <c:pt idx="41">
                  <c:v>3.6817734468854333</c:v>
                </c:pt>
                <c:pt idx="42">
                  <c:v>3.6690463403492362</c:v>
                </c:pt>
                <c:pt idx="43">
                  <c:v>3.6512084317297044</c:v>
                </c:pt>
                <c:pt idx="44">
                  <c:v>3.6282597210268408</c:v>
                </c:pt>
                <c:pt idx="45">
                  <c:v>3.6002002082406426</c:v>
                </c:pt>
                <c:pt idx="46">
                  <c:v>3.5670298933711124</c:v>
                </c:pt>
                <c:pt idx="47">
                  <c:v>3.5287487764182481</c:v>
                </c:pt>
                <c:pt idx="48">
                  <c:v>3.4853568573820497</c:v>
                </c:pt>
                <c:pt idx="49">
                  <c:v>3.4368541362625189</c:v>
                </c:pt>
                <c:pt idx="50">
                  <c:v>3.3832406130596544</c:v>
                </c:pt>
                <c:pt idx="51">
                  <c:v>3.3245162877734571</c:v>
                </c:pt>
                <c:pt idx="52">
                  <c:v>3.2606811604039274</c:v>
                </c:pt>
                <c:pt idx="53">
                  <c:v>3.1917352309510627</c:v>
                </c:pt>
                <c:pt idx="54">
                  <c:v>3.1176784994148656</c:v>
                </c:pt>
                <c:pt idx="55">
                  <c:v>3.0385109657953335</c:v>
                </c:pt>
                <c:pt idx="56">
                  <c:v>2.9542326300924691</c:v>
                </c:pt>
                <c:pt idx="57">
                  <c:v>2.8648434923062722</c:v>
                </c:pt>
                <c:pt idx="58">
                  <c:v>2.7703435524367426</c:v>
                </c:pt>
                <c:pt idx="59">
                  <c:v>2.6707328104838779</c:v>
                </c:pt>
                <c:pt idx="60">
                  <c:v>2.56601126644768</c:v>
                </c:pt>
                <c:pt idx="61">
                  <c:v>2.4561789203281492</c:v>
                </c:pt>
                <c:pt idx="62">
                  <c:v>2.3412357721252857</c:v>
                </c:pt>
                <c:pt idx="63">
                  <c:v>2.221181821839088</c:v>
                </c:pt>
                <c:pt idx="64">
                  <c:v>2.0960170694695566</c:v>
                </c:pt>
                <c:pt idx="65">
                  <c:v>1.9657415150166924</c:v>
                </c:pt>
                <c:pt idx="66">
                  <c:v>1.8303551584804951</c:v>
                </c:pt>
                <c:pt idx="67">
                  <c:v>1.689857999860964</c:v>
                </c:pt>
                <c:pt idx="68">
                  <c:v>1.5442500391580996</c:v>
                </c:pt>
                <c:pt idx="69">
                  <c:v>1.3935312763719019</c:v>
                </c:pt>
                <c:pt idx="70">
                  <c:v>1.2377017115023734</c:v>
                </c:pt>
                <c:pt idx="71">
                  <c:v>1.0767613445495083</c:v>
                </c:pt>
                <c:pt idx="72">
                  <c:v>0.91071017551331079</c:v>
                </c:pt>
                <c:pt idx="73">
                  <c:v>0.73954820439377789</c:v>
                </c:pt>
                <c:pt idx="74">
                  <c:v>0.56327543119091339</c:v>
                </c:pt>
                <c:pt idx="75">
                  <c:v>0.38189185590471653</c:v>
                </c:pt>
                <c:pt idx="76">
                  <c:v>0.19539747853518902</c:v>
                </c:pt>
                <c:pt idx="77">
                  <c:v>3.7922990823245216E-3</c:v>
                </c:pt>
                <c:pt idx="78">
                  <c:v>-0.19292368245387237</c:v>
                </c:pt>
                <c:pt idx="79">
                  <c:v>-0.39475046607340353</c:v>
                </c:pt>
                <c:pt idx="80">
                  <c:v>-0.60168805177626794</c:v>
                </c:pt>
                <c:pt idx="81">
                  <c:v>-0.81373643956246533</c:v>
                </c:pt>
                <c:pt idx="82">
                  <c:v>-1.0308956294319964</c:v>
                </c:pt>
                <c:pt idx="83">
                  <c:v>-1.2531656213848605</c:v>
                </c:pt>
                <c:pt idx="84">
                  <c:v>-1.4805464154210584</c:v>
                </c:pt>
                <c:pt idx="85">
                  <c:v>-1.7130380115405899</c:v>
                </c:pt>
                <c:pt idx="86">
                  <c:v>-1.9506404097434538</c:v>
                </c:pt>
                <c:pt idx="87">
                  <c:v>-2.1933536100296518</c:v>
                </c:pt>
                <c:pt idx="88">
                  <c:v>-2.4411776123991826</c:v>
                </c:pt>
                <c:pt idx="89">
                  <c:v>-2.6941124168520467</c:v>
                </c:pt>
                <c:pt idx="90">
                  <c:v>-2.9521580233882445</c:v>
                </c:pt>
                <c:pt idx="91">
                  <c:v>-3.2153144320077751</c:v>
                </c:pt>
                <c:pt idx="92">
                  <c:v>-3.4835816427106399</c:v>
                </c:pt>
                <c:pt idx="93">
                  <c:v>-3.7569596554968374</c:v>
                </c:pt>
                <c:pt idx="94">
                  <c:v>-4.0354484703663687</c:v>
                </c:pt>
                <c:pt idx="95">
                  <c:v>-4.3190480873192287</c:v>
                </c:pt>
                <c:pt idx="96">
                  <c:v>-4.6077585063554265</c:v>
                </c:pt>
                <c:pt idx="97">
                  <c:v>-4.9015797274749575</c:v>
                </c:pt>
                <c:pt idx="98">
                  <c:v>-5.2005117506778218</c:v>
                </c:pt>
                <c:pt idx="99">
                  <c:v>-5.5045545759640211</c:v>
                </c:pt>
                <c:pt idx="100">
                  <c:v>-5.8137082033335528</c:v>
                </c:pt>
                <c:pt idx="101">
                  <c:v>-6.1279726327864159</c:v>
                </c:pt>
                <c:pt idx="102">
                  <c:v>0</c:v>
                </c:pt>
              </c:numCache>
            </c:numRef>
          </c:xVal>
          <c:yVal>
            <c:numRef>
              <c:f>'Beispiel 3'!$AG$100:$AG$202</c:f>
              <c:numCache>
                <c:formatCode>General</c:formatCode>
                <c:ptCount val="103"/>
                <c:pt idx="0">
                  <c:v>192.80727705386954</c:v>
                </c:pt>
                <c:pt idx="1">
                  <c:v>192.80727705386954</c:v>
                </c:pt>
                <c:pt idx="2">
                  <c:v>192.80727705386954</c:v>
                </c:pt>
                <c:pt idx="3">
                  <c:v>192.80727705386954</c:v>
                </c:pt>
                <c:pt idx="4">
                  <c:v>192.80727705386954</c:v>
                </c:pt>
                <c:pt idx="5">
                  <c:v>192.80727705386954</c:v>
                </c:pt>
                <c:pt idx="6">
                  <c:v>192.80727705386954</c:v>
                </c:pt>
                <c:pt idx="7">
                  <c:v>192.80727705386954</c:v>
                </c:pt>
                <c:pt idx="8">
                  <c:v>192.80727705386954</c:v>
                </c:pt>
                <c:pt idx="9">
                  <c:v>192.80727705386954</c:v>
                </c:pt>
                <c:pt idx="10">
                  <c:v>192.80727705386954</c:v>
                </c:pt>
                <c:pt idx="11">
                  <c:v>192.80727705386954</c:v>
                </c:pt>
                <c:pt idx="12">
                  <c:v>189.88681872053618</c:v>
                </c:pt>
                <c:pt idx="13">
                  <c:v>186.96636038720283</c:v>
                </c:pt>
                <c:pt idx="14">
                  <c:v>184.0459020538695</c:v>
                </c:pt>
                <c:pt idx="15">
                  <c:v>181.1254437205362</c:v>
                </c:pt>
                <c:pt idx="16">
                  <c:v>178.20498538720284</c:v>
                </c:pt>
                <c:pt idx="17">
                  <c:v>175.28452705386951</c:v>
                </c:pt>
                <c:pt idx="18">
                  <c:v>172.36406872053615</c:v>
                </c:pt>
                <c:pt idx="19">
                  <c:v>169.44361038720282</c:v>
                </c:pt>
                <c:pt idx="20">
                  <c:v>166.5231520538695</c:v>
                </c:pt>
                <c:pt idx="21">
                  <c:v>163.60269372053614</c:v>
                </c:pt>
                <c:pt idx="22">
                  <c:v>160.68223538720284</c:v>
                </c:pt>
                <c:pt idx="23">
                  <c:v>157.76177705386954</c:v>
                </c:pt>
                <c:pt idx="24">
                  <c:v>154.84131872053615</c:v>
                </c:pt>
                <c:pt idx="25">
                  <c:v>151.92086038720285</c:v>
                </c:pt>
                <c:pt idx="26">
                  <c:v>149.00040205386952</c:v>
                </c:pt>
                <c:pt idx="27">
                  <c:v>146.07994372053616</c:v>
                </c:pt>
                <c:pt idx="28">
                  <c:v>143.15948538720284</c:v>
                </c:pt>
                <c:pt idx="29">
                  <c:v>140.23902705386951</c:v>
                </c:pt>
                <c:pt idx="30">
                  <c:v>137.31856872053615</c:v>
                </c:pt>
                <c:pt idx="31">
                  <c:v>134.39811038720285</c:v>
                </c:pt>
                <c:pt idx="32">
                  <c:v>131.47765205386949</c:v>
                </c:pt>
                <c:pt idx="33">
                  <c:v>128.55719372053616</c:v>
                </c:pt>
                <c:pt idx="34">
                  <c:v>125.63673538720282</c:v>
                </c:pt>
                <c:pt idx="35">
                  <c:v>122.71627705386949</c:v>
                </c:pt>
                <c:pt idx="36">
                  <c:v>119.79581872053619</c:v>
                </c:pt>
                <c:pt idx="37">
                  <c:v>116.8753603872028</c:v>
                </c:pt>
                <c:pt idx="38">
                  <c:v>113.95490205386949</c:v>
                </c:pt>
                <c:pt idx="39">
                  <c:v>111.03444372053622</c:v>
                </c:pt>
                <c:pt idx="40">
                  <c:v>108.11398538720285</c:v>
                </c:pt>
                <c:pt idx="41">
                  <c:v>105.19352705386953</c:v>
                </c:pt>
                <c:pt idx="42">
                  <c:v>102.2730687205362</c:v>
                </c:pt>
                <c:pt idx="43">
                  <c:v>99.352610387202844</c:v>
                </c:pt>
                <c:pt idx="44">
                  <c:v>96.43215205386953</c:v>
                </c:pt>
                <c:pt idx="45">
                  <c:v>93.511693720536172</c:v>
                </c:pt>
                <c:pt idx="46">
                  <c:v>90.591235387202858</c:v>
                </c:pt>
                <c:pt idx="47">
                  <c:v>87.670777053869514</c:v>
                </c:pt>
                <c:pt idx="48">
                  <c:v>84.750318720536171</c:v>
                </c:pt>
                <c:pt idx="49">
                  <c:v>81.829860387202842</c:v>
                </c:pt>
                <c:pt idx="50">
                  <c:v>78.909402053869499</c:v>
                </c:pt>
                <c:pt idx="51">
                  <c:v>75.98894372053617</c:v>
                </c:pt>
                <c:pt idx="52">
                  <c:v>73.068485387202855</c:v>
                </c:pt>
                <c:pt idx="53">
                  <c:v>70.148027053869512</c:v>
                </c:pt>
                <c:pt idx="54">
                  <c:v>67.227568720536183</c:v>
                </c:pt>
                <c:pt idx="55">
                  <c:v>64.307110387202826</c:v>
                </c:pt>
                <c:pt idx="56">
                  <c:v>61.386652053869483</c:v>
                </c:pt>
                <c:pt idx="57">
                  <c:v>58.466193720536168</c:v>
                </c:pt>
                <c:pt idx="58">
                  <c:v>55.545735387202868</c:v>
                </c:pt>
                <c:pt idx="59">
                  <c:v>52.625277053869517</c:v>
                </c:pt>
                <c:pt idx="60">
                  <c:v>49.704818720536174</c:v>
                </c:pt>
                <c:pt idx="61">
                  <c:v>46.784360387202845</c:v>
                </c:pt>
                <c:pt idx="62">
                  <c:v>43.863902053869523</c:v>
                </c:pt>
                <c:pt idx="63">
                  <c:v>40.94344372053618</c:v>
                </c:pt>
                <c:pt idx="64">
                  <c:v>38.022985387202844</c:v>
                </c:pt>
                <c:pt idx="65">
                  <c:v>35.102527053869508</c:v>
                </c:pt>
                <c:pt idx="66">
                  <c:v>32.182068720536179</c:v>
                </c:pt>
                <c:pt idx="67">
                  <c:v>29.261610387202843</c:v>
                </c:pt>
                <c:pt idx="68">
                  <c:v>26.341152053869504</c:v>
                </c:pt>
                <c:pt idx="69">
                  <c:v>23.420693720536168</c:v>
                </c:pt>
                <c:pt idx="70">
                  <c:v>20.500235387202874</c:v>
                </c:pt>
                <c:pt idx="71">
                  <c:v>17.579777053869527</c:v>
                </c:pt>
                <c:pt idx="72">
                  <c:v>14.659318720536191</c:v>
                </c:pt>
                <c:pt idx="73">
                  <c:v>11.738860387202823</c:v>
                </c:pt>
                <c:pt idx="74">
                  <c:v>8.8184020538694856</c:v>
                </c:pt>
                <c:pt idx="75">
                  <c:v>5.897943720536162</c:v>
                </c:pt>
                <c:pt idx="76">
                  <c:v>2.9774853872028806</c:v>
                </c:pt>
                <c:pt idx="77">
                  <c:v>5.702705386954169E-2</c:v>
                </c:pt>
                <c:pt idx="78">
                  <c:v>-2.8634312794637831</c:v>
                </c:pt>
                <c:pt idx="79">
                  <c:v>-5.7838896127971218</c:v>
                </c:pt>
                <c:pt idx="80">
                  <c:v>-8.7043479461304596</c:v>
                </c:pt>
                <c:pt idx="81">
                  <c:v>-11.624806279463792</c:v>
                </c:pt>
                <c:pt idx="82">
                  <c:v>-14.545264612797128</c:v>
                </c:pt>
                <c:pt idx="83">
                  <c:v>-17.465722946130462</c:v>
                </c:pt>
                <c:pt idx="84">
                  <c:v>-20.386181279463798</c:v>
                </c:pt>
                <c:pt idx="85">
                  <c:v>-23.306639612797142</c:v>
                </c:pt>
                <c:pt idx="86">
                  <c:v>-26.227097946130471</c:v>
                </c:pt>
                <c:pt idx="87">
                  <c:v>-29.147556279463814</c:v>
                </c:pt>
                <c:pt idx="88">
                  <c:v>-32.068014612797143</c:v>
                </c:pt>
                <c:pt idx="89">
                  <c:v>-34.988472946130479</c:v>
                </c:pt>
                <c:pt idx="90">
                  <c:v>-37.908931279463815</c:v>
                </c:pt>
                <c:pt idx="91">
                  <c:v>-40.829389612797144</c:v>
                </c:pt>
                <c:pt idx="92">
                  <c:v>-43.749847946130487</c:v>
                </c:pt>
                <c:pt idx="93">
                  <c:v>-46.670306279463816</c:v>
                </c:pt>
                <c:pt idx="94">
                  <c:v>-49.590764612797159</c:v>
                </c:pt>
                <c:pt idx="95">
                  <c:v>-52.511222946130445</c:v>
                </c:pt>
                <c:pt idx="96">
                  <c:v>-55.431681279463788</c:v>
                </c:pt>
                <c:pt idx="97">
                  <c:v>-58.352139612797124</c:v>
                </c:pt>
                <c:pt idx="98">
                  <c:v>-61.272597946130453</c:v>
                </c:pt>
                <c:pt idx="99">
                  <c:v>-64.193056279463804</c:v>
                </c:pt>
                <c:pt idx="100">
                  <c:v>-67.113514612797147</c:v>
                </c:pt>
                <c:pt idx="101">
                  <c:v>-70.033972946130476</c:v>
                </c:pt>
                <c:pt idx="102">
                  <c:v>0</c:v>
                </c:pt>
              </c:numCache>
            </c:numRef>
          </c:yVal>
          <c:smooth val="1"/>
          <c:extLst>
            <c:ext xmlns:c16="http://schemas.microsoft.com/office/drawing/2014/chart" uri="{C3380CC4-5D6E-409C-BE32-E72D297353CC}">
              <c16:uniqueId val="{00000001-BE50-45B2-A8A0-30340CB72DF8}"/>
            </c:ext>
          </c:extLst>
        </c:ser>
        <c:ser>
          <c:idx val="1"/>
          <c:order val="2"/>
          <c:tx>
            <c:v>NRd Fuß</c:v>
          </c:tx>
          <c:spPr>
            <a:ln w="25400" cap="rnd">
              <a:solidFill>
                <a:schemeClr val="accent2"/>
              </a:solidFill>
              <a:prstDash val="sysDash"/>
              <a:round/>
            </a:ln>
            <a:effectLst/>
          </c:spPr>
          <c:marker>
            <c:symbol val="none"/>
          </c:marker>
          <c:xVal>
            <c:numRef>
              <c:f>'Beispiel 3'!$AA$100:$AA$202</c:f>
              <c:numCache>
                <c:formatCode>General</c:formatCode>
                <c:ptCount val="103"/>
                <c:pt idx="0">
                  <c:v>0</c:v>
                </c:pt>
                <c:pt idx="1">
                  <c:v>0</c:v>
                </c:pt>
                <c:pt idx="2">
                  <c:v>0.37602503999999998</c:v>
                </c:pt>
                <c:pt idx="3">
                  <c:v>0.74522016000000002</c:v>
                </c:pt>
                <c:pt idx="4">
                  <c:v>1.1075853599999999</c:v>
                </c:pt>
                <c:pt idx="5">
                  <c:v>1.4631206399999999</c:v>
                </c:pt>
                <c:pt idx="6">
                  <c:v>1.8118259999999999</c:v>
                </c:pt>
                <c:pt idx="7">
                  <c:v>2.1537014399999999</c:v>
                </c:pt>
                <c:pt idx="8">
                  <c:v>2.4887469599999998</c:v>
                </c:pt>
                <c:pt idx="9">
                  <c:v>2.8169625599999999</c:v>
                </c:pt>
                <c:pt idx="10">
                  <c:v>3.1383482399999996</c:v>
                </c:pt>
                <c:pt idx="11">
                  <c:v>3.4529039999999998</c:v>
                </c:pt>
                <c:pt idx="12">
                  <c:v>3.7606298399999996</c:v>
                </c:pt>
                <c:pt idx="13">
                  <c:v>4.0615257599999994</c:v>
                </c:pt>
                <c:pt idx="14">
                  <c:v>4.3555917600000003</c:v>
                </c:pt>
                <c:pt idx="15">
                  <c:v>4.6428278399999998</c:v>
                </c:pt>
                <c:pt idx="16">
                  <c:v>4.9232339999999999</c:v>
                </c:pt>
                <c:pt idx="17">
                  <c:v>5.1968102399999996</c:v>
                </c:pt>
                <c:pt idx="18">
                  <c:v>5.4635565599999998</c:v>
                </c:pt>
                <c:pt idx="19">
                  <c:v>5.7234729599999996</c:v>
                </c:pt>
                <c:pt idx="20">
                  <c:v>5.9765594399999999</c:v>
                </c:pt>
                <c:pt idx="21">
                  <c:v>6.2228159999999999</c:v>
                </c:pt>
                <c:pt idx="22">
                  <c:v>6.4622426399999995</c:v>
                </c:pt>
                <c:pt idx="23">
                  <c:v>6.6948393599999987</c:v>
                </c:pt>
                <c:pt idx="24">
                  <c:v>6.9206061599999993</c:v>
                </c:pt>
                <c:pt idx="25">
                  <c:v>7.1395430399999986</c:v>
                </c:pt>
                <c:pt idx="26">
                  <c:v>7.3516499999999994</c:v>
                </c:pt>
                <c:pt idx="27">
                  <c:v>7.5569270400000006</c:v>
                </c:pt>
                <c:pt idx="28">
                  <c:v>7.7553741600000015</c:v>
                </c:pt>
                <c:pt idx="29">
                  <c:v>7.9469913599999993</c:v>
                </c:pt>
                <c:pt idx="30">
                  <c:v>8.1317786399999985</c:v>
                </c:pt>
                <c:pt idx="31">
                  <c:v>8.3097359999999991</c:v>
                </c:pt>
                <c:pt idx="32">
                  <c:v>8.4808634399999985</c:v>
                </c:pt>
                <c:pt idx="33">
                  <c:v>8.6451609599999983</c:v>
                </c:pt>
                <c:pt idx="34">
                  <c:v>8.8026285599999987</c:v>
                </c:pt>
                <c:pt idx="35">
                  <c:v>8.9532662399999996</c:v>
                </c:pt>
                <c:pt idx="36">
                  <c:v>9.0970739999999992</c:v>
                </c:pt>
                <c:pt idx="37">
                  <c:v>9.2340518399999993</c:v>
                </c:pt>
                <c:pt idx="38">
                  <c:v>9.36419976</c:v>
                </c:pt>
                <c:pt idx="39">
                  <c:v>9.4875177599999994</c:v>
                </c:pt>
                <c:pt idx="40">
                  <c:v>9.604005840000001</c:v>
                </c:pt>
                <c:pt idx="41">
                  <c:v>9.7136640000000014</c:v>
                </c:pt>
                <c:pt idx="42">
                  <c:v>9.8164922400000005</c:v>
                </c:pt>
                <c:pt idx="43">
                  <c:v>9.9124905600000002</c:v>
                </c:pt>
                <c:pt idx="44">
                  <c:v>10.00165896</c:v>
                </c:pt>
                <c:pt idx="45">
                  <c:v>10.083997439999999</c:v>
                </c:pt>
                <c:pt idx="46">
                  <c:v>10.159505999999999</c:v>
                </c:pt>
                <c:pt idx="47">
                  <c:v>10.228184639999998</c:v>
                </c:pt>
                <c:pt idx="48">
                  <c:v>10.290033360000001</c:v>
                </c:pt>
                <c:pt idx="49">
                  <c:v>10.345052159999998</c:v>
                </c:pt>
                <c:pt idx="50">
                  <c:v>10.393241039999999</c:v>
                </c:pt>
                <c:pt idx="51">
                  <c:v>10.4346</c:v>
                </c:pt>
                <c:pt idx="52">
                  <c:v>10.46912904</c:v>
                </c:pt>
                <c:pt idx="53">
                  <c:v>10.49682816</c:v>
                </c:pt>
                <c:pt idx="54">
                  <c:v>10.51769736</c:v>
                </c:pt>
                <c:pt idx="55">
                  <c:v>10.53173664</c:v>
                </c:pt>
                <c:pt idx="56">
                  <c:v>10.538945999999999</c:v>
                </c:pt>
                <c:pt idx="57">
                  <c:v>10.539325439999999</c:v>
                </c:pt>
                <c:pt idx="58">
                  <c:v>10.532874959999999</c:v>
                </c:pt>
                <c:pt idx="59">
                  <c:v>10.519594559999998</c:v>
                </c:pt>
                <c:pt idx="60">
                  <c:v>10.499484239999999</c:v>
                </c:pt>
                <c:pt idx="61">
                  <c:v>10.472543999999999</c:v>
                </c:pt>
                <c:pt idx="62">
                  <c:v>10.43877384</c:v>
                </c:pt>
                <c:pt idx="63">
                  <c:v>10.398173760000001</c:v>
                </c:pt>
                <c:pt idx="64">
                  <c:v>10.35074376</c:v>
                </c:pt>
                <c:pt idx="65">
                  <c:v>10.296483839999999</c:v>
                </c:pt>
                <c:pt idx="66">
                  <c:v>10.235393999999999</c:v>
                </c:pt>
                <c:pt idx="67">
                  <c:v>10.167474240000001</c:v>
                </c:pt>
                <c:pt idx="68">
                  <c:v>10.092724560000001</c:v>
                </c:pt>
                <c:pt idx="69">
                  <c:v>10.011144960000001</c:v>
                </c:pt>
                <c:pt idx="70">
                  <c:v>9.9227354400000038</c:v>
                </c:pt>
                <c:pt idx="71">
                  <c:v>9.827496</c:v>
                </c:pt>
                <c:pt idx="72">
                  <c:v>9.7254266399999985</c:v>
                </c:pt>
                <c:pt idx="73">
                  <c:v>9.6165273599999992</c:v>
                </c:pt>
                <c:pt idx="74">
                  <c:v>9.5007981600000004</c:v>
                </c:pt>
                <c:pt idx="75">
                  <c:v>9.3782390400000004</c:v>
                </c:pt>
                <c:pt idx="76">
                  <c:v>9.2488500000000009</c:v>
                </c:pt>
                <c:pt idx="77">
                  <c:v>9.1126310400000019</c:v>
                </c:pt>
                <c:pt idx="78">
                  <c:v>8.9695821599999999</c:v>
                </c:pt>
                <c:pt idx="79">
                  <c:v>8.8197033600000001</c:v>
                </c:pt>
                <c:pt idx="80">
                  <c:v>8.6629946400000009</c:v>
                </c:pt>
                <c:pt idx="81">
                  <c:v>8.4994560000000021</c:v>
                </c:pt>
                <c:pt idx="82">
                  <c:v>8.3290874400000021</c:v>
                </c:pt>
                <c:pt idx="83">
                  <c:v>8.1518889600000026</c:v>
                </c:pt>
                <c:pt idx="84">
                  <c:v>7.9678605600000019</c:v>
                </c:pt>
                <c:pt idx="85">
                  <c:v>7.7770022399999998</c:v>
                </c:pt>
                <c:pt idx="86">
                  <c:v>7.5793140000000001</c:v>
                </c:pt>
                <c:pt idx="87">
                  <c:v>7.3747958400000044</c:v>
                </c:pt>
                <c:pt idx="88">
                  <c:v>7.1634477600000022</c:v>
                </c:pt>
                <c:pt idx="89">
                  <c:v>6.9452697600000022</c:v>
                </c:pt>
                <c:pt idx="90">
                  <c:v>6.72026184</c:v>
                </c:pt>
                <c:pt idx="91">
                  <c:v>6.4884240000000002</c:v>
                </c:pt>
                <c:pt idx="92">
                  <c:v>6.2497562399999973</c:v>
                </c:pt>
                <c:pt idx="93">
                  <c:v>6.0042585600000011</c:v>
                </c:pt>
                <c:pt idx="94">
                  <c:v>5.7519309599999993</c:v>
                </c:pt>
                <c:pt idx="95">
                  <c:v>5.4927734400000059</c:v>
                </c:pt>
                <c:pt idx="96">
                  <c:v>5.2267860000000033</c:v>
                </c:pt>
                <c:pt idx="97">
                  <c:v>4.9539686400000038</c:v>
                </c:pt>
                <c:pt idx="98">
                  <c:v>4.6743213600000013</c:v>
                </c:pt>
                <c:pt idx="99">
                  <c:v>4.3878441600000011</c:v>
                </c:pt>
                <c:pt idx="100">
                  <c:v>4.0945370399999987</c:v>
                </c:pt>
                <c:pt idx="101">
                  <c:v>3.7944000000000031</c:v>
                </c:pt>
                <c:pt idx="102">
                  <c:v>0</c:v>
                </c:pt>
              </c:numCache>
            </c:numRef>
          </c:xVal>
          <c:yVal>
            <c:numRef>
              <c:f>'Beispiel 3'!$Y$100:$Y$202</c:f>
              <c:numCache>
                <c:formatCode>General</c:formatCode>
                <c:ptCount val="103"/>
                <c:pt idx="0">
                  <c:v>0</c:v>
                </c:pt>
                <c:pt idx="1">
                  <c:v>0</c:v>
                </c:pt>
                <c:pt idx="2">
                  <c:v>3.1619999999999999</c:v>
                </c:pt>
                <c:pt idx="3">
                  <c:v>6.3239999999999998</c:v>
                </c:pt>
                <c:pt idx="4">
                  <c:v>9.4859999999999989</c:v>
                </c:pt>
                <c:pt idx="5">
                  <c:v>12.648</c:v>
                </c:pt>
                <c:pt idx="6">
                  <c:v>15.81</c:v>
                </c:pt>
                <c:pt idx="7">
                  <c:v>18.971999999999998</c:v>
                </c:pt>
                <c:pt idx="8">
                  <c:v>22.134</c:v>
                </c:pt>
                <c:pt idx="9">
                  <c:v>25.295999999999999</c:v>
                </c:pt>
                <c:pt idx="10">
                  <c:v>28.457999999999998</c:v>
                </c:pt>
                <c:pt idx="11">
                  <c:v>31.62</c:v>
                </c:pt>
                <c:pt idx="12">
                  <c:v>34.781999999999996</c:v>
                </c:pt>
                <c:pt idx="13">
                  <c:v>37.943999999999996</c:v>
                </c:pt>
                <c:pt idx="14">
                  <c:v>41.106000000000002</c:v>
                </c:pt>
                <c:pt idx="15">
                  <c:v>44.268000000000001</c:v>
                </c:pt>
                <c:pt idx="16">
                  <c:v>47.43</c:v>
                </c:pt>
                <c:pt idx="17">
                  <c:v>50.591999999999999</c:v>
                </c:pt>
                <c:pt idx="18">
                  <c:v>53.754000000000005</c:v>
                </c:pt>
                <c:pt idx="19">
                  <c:v>56.915999999999997</c:v>
                </c:pt>
                <c:pt idx="20">
                  <c:v>60.077999999999996</c:v>
                </c:pt>
                <c:pt idx="21">
                  <c:v>63.24</c:v>
                </c:pt>
                <c:pt idx="22">
                  <c:v>66.402000000000001</c:v>
                </c:pt>
                <c:pt idx="23">
                  <c:v>69.563999999999993</c:v>
                </c:pt>
                <c:pt idx="24">
                  <c:v>72.725999999999999</c:v>
                </c:pt>
                <c:pt idx="25">
                  <c:v>75.887999999999991</c:v>
                </c:pt>
                <c:pt idx="26">
                  <c:v>79.05</c:v>
                </c:pt>
                <c:pt idx="27">
                  <c:v>82.212000000000003</c:v>
                </c:pt>
                <c:pt idx="28">
                  <c:v>85.374000000000009</c:v>
                </c:pt>
                <c:pt idx="29">
                  <c:v>88.536000000000001</c:v>
                </c:pt>
                <c:pt idx="30">
                  <c:v>91.697999999999993</c:v>
                </c:pt>
                <c:pt idx="31">
                  <c:v>94.86</c:v>
                </c:pt>
                <c:pt idx="32">
                  <c:v>98.021999999999991</c:v>
                </c:pt>
                <c:pt idx="33">
                  <c:v>101.184</c:v>
                </c:pt>
                <c:pt idx="34">
                  <c:v>104.346</c:v>
                </c:pt>
                <c:pt idx="35">
                  <c:v>107.50800000000001</c:v>
                </c:pt>
                <c:pt idx="36">
                  <c:v>110.66999999999999</c:v>
                </c:pt>
                <c:pt idx="37">
                  <c:v>113.83199999999999</c:v>
                </c:pt>
                <c:pt idx="38">
                  <c:v>116.994</c:v>
                </c:pt>
                <c:pt idx="39">
                  <c:v>120.15599999999999</c:v>
                </c:pt>
                <c:pt idx="40">
                  <c:v>123.318</c:v>
                </c:pt>
                <c:pt idx="41">
                  <c:v>126.48</c:v>
                </c:pt>
                <c:pt idx="42">
                  <c:v>129.642</c:v>
                </c:pt>
                <c:pt idx="43">
                  <c:v>132.804</c:v>
                </c:pt>
                <c:pt idx="44">
                  <c:v>135.96599999999998</c:v>
                </c:pt>
                <c:pt idx="45">
                  <c:v>139.12799999999999</c:v>
                </c:pt>
                <c:pt idx="46">
                  <c:v>142.29</c:v>
                </c:pt>
                <c:pt idx="47">
                  <c:v>145.452</c:v>
                </c:pt>
                <c:pt idx="48">
                  <c:v>148.61399999999998</c:v>
                </c:pt>
                <c:pt idx="49">
                  <c:v>151.77599999999998</c:v>
                </c:pt>
                <c:pt idx="50">
                  <c:v>154.93799999999999</c:v>
                </c:pt>
                <c:pt idx="51">
                  <c:v>158.1</c:v>
                </c:pt>
                <c:pt idx="52">
                  <c:v>161.262</c:v>
                </c:pt>
                <c:pt idx="53">
                  <c:v>164.42400000000001</c:v>
                </c:pt>
                <c:pt idx="54">
                  <c:v>167.58600000000001</c:v>
                </c:pt>
                <c:pt idx="55">
                  <c:v>170.74800000000002</c:v>
                </c:pt>
                <c:pt idx="56">
                  <c:v>173.91</c:v>
                </c:pt>
                <c:pt idx="57">
                  <c:v>177.072</c:v>
                </c:pt>
                <c:pt idx="58">
                  <c:v>180.23399999999998</c:v>
                </c:pt>
                <c:pt idx="59">
                  <c:v>183.39599999999999</c:v>
                </c:pt>
                <c:pt idx="60">
                  <c:v>186.55799999999999</c:v>
                </c:pt>
                <c:pt idx="61">
                  <c:v>189.72</c:v>
                </c:pt>
                <c:pt idx="62">
                  <c:v>192.88199999999998</c:v>
                </c:pt>
                <c:pt idx="63">
                  <c:v>196.04399999999998</c:v>
                </c:pt>
                <c:pt idx="64">
                  <c:v>199.20599999999999</c:v>
                </c:pt>
                <c:pt idx="65">
                  <c:v>202.36799999999999</c:v>
                </c:pt>
                <c:pt idx="66">
                  <c:v>205.53</c:v>
                </c:pt>
                <c:pt idx="67">
                  <c:v>208.69200000000001</c:v>
                </c:pt>
                <c:pt idx="68">
                  <c:v>211.85400000000001</c:v>
                </c:pt>
                <c:pt idx="69">
                  <c:v>215.01600000000002</c:v>
                </c:pt>
                <c:pt idx="70">
                  <c:v>218.17799999999997</c:v>
                </c:pt>
                <c:pt idx="71">
                  <c:v>221.33999999999997</c:v>
                </c:pt>
                <c:pt idx="72">
                  <c:v>224.50199999999998</c:v>
                </c:pt>
                <c:pt idx="73">
                  <c:v>227.66399999999999</c:v>
                </c:pt>
                <c:pt idx="74">
                  <c:v>230.82599999999999</c:v>
                </c:pt>
                <c:pt idx="75">
                  <c:v>233.988</c:v>
                </c:pt>
                <c:pt idx="76">
                  <c:v>237.14999999999998</c:v>
                </c:pt>
                <c:pt idx="77">
                  <c:v>240.31199999999998</c:v>
                </c:pt>
                <c:pt idx="78">
                  <c:v>243.47399999999999</c:v>
                </c:pt>
                <c:pt idx="79">
                  <c:v>246.636</c:v>
                </c:pt>
                <c:pt idx="80">
                  <c:v>249.798</c:v>
                </c:pt>
                <c:pt idx="81">
                  <c:v>252.96</c:v>
                </c:pt>
                <c:pt idx="82">
                  <c:v>256.12200000000001</c:v>
                </c:pt>
                <c:pt idx="83">
                  <c:v>259.28399999999999</c:v>
                </c:pt>
                <c:pt idx="84">
                  <c:v>262.44599999999997</c:v>
                </c:pt>
                <c:pt idx="85">
                  <c:v>265.608</c:v>
                </c:pt>
                <c:pt idx="86">
                  <c:v>268.77</c:v>
                </c:pt>
                <c:pt idx="87">
                  <c:v>271.93199999999996</c:v>
                </c:pt>
                <c:pt idx="88">
                  <c:v>275.09399999999999</c:v>
                </c:pt>
                <c:pt idx="89">
                  <c:v>278.25599999999997</c:v>
                </c:pt>
                <c:pt idx="90">
                  <c:v>281.41800000000001</c:v>
                </c:pt>
                <c:pt idx="91">
                  <c:v>284.58</c:v>
                </c:pt>
                <c:pt idx="92">
                  <c:v>287.74200000000002</c:v>
                </c:pt>
                <c:pt idx="93">
                  <c:v>290.904</c:v>
                </c:pt>
                <c:pt idx="94">
                  <c:v>294.06600000000003</c:v>
                </c:pt>
                <c:pt idx="95">
                  <c:v>297.22799999999995</c:v>
                </c:pt>
                <c:pt idx="96">
                  <c:v>300.39</c:v>
                </c:pt>
                <c:pt idx="97">
                  <c:v>303.55199999999996</c:v>
                </c:pt>
                <c:pt idx="98">
                  <c:v>306.714</c:v>
                </c:pt>
                <c:pt idx="99">
                  <c:v>309.87599999999998</c:v>
                </c:pt>
                <c:pt idx="100">
                  <c:v>313.03800000000001</c:v>
                </c:pt>
                <c:pt idx="101">
                  <c:v>316.2</c:v>
                </c:pt>
                <c:pt idx="102">
                  <c:v>316.2</c:v>
                </c:pt>
              </c:numCache>
            </c:numRef>
          </c:yVal>
          <c:smooth val="1"/>
          <c:extLst>
            <c:ext xmlns:c16="http://schemas.microsoft.com/office/drawing/2014/chart" uri="{C3380CC4-5D6E-409C-BE32-E72D297353CC}">
              <c16:uniqueId val="{00000002-BE50-45B2-A8A0-30340CB72DF8}"/>
            </c:ext>
          </c:extLst>
        </c:ser>
        <c:ser>
          <c:idx val="3"/>
          <c:order val="3"/>
          <c:tx>
            <c:v>M/N Kopf</c:v>
          </c:tx>
          <c:spPr>
            <a:ln w="19050" cap="rnd">
              <a:noFill/>
              <a:round/>
            </a:ln>
            <a:effectLst/>
          </c:spPr>
          <c:marker>
            <c:symbol val="star"/>
            <c:size val="8"/>
            <c:spPr>
              <a:noFill/>
              <a:ln w="19050">
                <a:solidFill>
                  <a:schemeClr val="accent1"/>
                </a:solidFill>
              </a:ln>
              <a:effectLst/>
            </c:spPr>
          </c:marker>
          <c:xVal>
            <c:numRef>
              <c:f>'Beispiel 3'!$U$96</c:f>
              <c:numCache>
                <c:formatCode>General</c:formatCode>
                <c:ptCount val="1"/>
                <c:pt idx="0">
                  <c:v>4.5540000000000003</c:v>
                </c:pt>
              </c:numCache>
            </c:numRef>
          </c:xVal>
          <c:yVal>
            <c:numRef>
              <c:f>'Beispiel 3'!$U$97</c:f>
              <c:numCache>
                <c:formatCode>General</c:formatCode>
                <c:ptCount val="1"/>
                <c:pt idx="0">
                  <c:v>379.5</c:v>
                </c:pt>
              </c:numCache>
            </c:numRef>
          </c:yVal>
          <c:smooth val="1"/>
          <c:extLst>
            <c:ext xmlns:c16="http://schemas.microsoft.com/office/drawing/2014/chart" uri="{C3380CC4-5D6E-409C-BE32-E72D297353CC}">
              <c16:uniqueId val="{00000003-BE50-45B2-A8A0-30340CB72DF8}"/>
            </c:ext>
          </c:extLst>
        </c:ser>
        <c:ser>
          <c:idx val="5"/>
          <c:order val="4"/>
          <c:tx>
            <c:v>M/N Mitte</c:v>
          </c:tx>
          <c:spPr>
            <a:ln w="19050" cap="rnd">
              <a:noFill/>
              <a:round/>
            </a:ln>
            <a:effectLst/>
          </c:spPr>
          <c:marker>
            <c:symbol val="x"/>
            <c:size val="8"/>
            <c:spPr>
              <a:noFill/>
              <a:ln w="19050">
                <a:solidFill>
                  <a:schemeClr val="accent3">
                    <a:lumMod val="75000"/>
                  </a:schemeClr>
                </a:solidFill>
              </a:ln>
              <a:effectLst/>
            </c:spPr>
          </c:marker>
          <c:xVal>
            <c:numRef>
              <c:f>'Beispiel 3'!$AC$96</c:f>
              <c:numCache>
                <c:formatCode>General</c:formatCode>
                <c:ptCount val="1"/>
                <c:pt idx="0">
                  <c:v>3.3551067284765623</c:v>
                </c:pt>
              </c:numCache>
            </c:numRef>
          </c:xVal>
          <c:yVal>
            <c:numRef>
              <c:f>'Beispiel 3'!$AC$97</c:f>
              <c:numCache>
                <c:formatCode>General</c:formatCode>
                <c:ptCount val="1"/>
                <c:pt idx="0">
                  <c:v>383.44076896875004</c:v>
                </c:pt>
              </c:numCache>
            </c:numRef>
          </c:yVal>
          <c:smooth val="1"/>
          <c:extLst>
            <c:ext xmlns:c16="http://schemas.microsoft.com/office/drawing/2014/chart" uri="{C3380CC4-5D6E-409C-BE32-E72D297353CC}">
              <c16:uniqueId val="{00000004-BE50-45B2-A8A0-30340CB72DF8}"/>
            </c:ext>
          </c:extLst>
        </c:ser>
        <c:ser>
          <c:idx val="4"/>
          <c:order val="5"/>
          <c:tx>
            <c:v>M/N Fuß</c:v>
          </c:tx>
          <c:spPr>
            <a:ln w="19050" cap="rnd">
              <a:noFill/>
              <a:round/>
            </a:ln>
            <a:effectLst/>
          </c:spPr>
          <c:marker>
            <c:symbol val="plus"/>
            <c:size val="8"/>
            <c:spPr>
              <a:noFill/>
              <a:ln w="19050">
                <a:solidFill>
                  <a:schemeClr val="accent2"/>
                </a:solidFill>
              </a:ln>
              <a:effectLst/>
            </c:spPr>
          </c:marker>
          <c:xVal>
            <c:numRef>
              <c:f>'Beispiel 3'!$Y$96</c:f>
              <c:numCache>
                <c:formatCode>General</c:formatCode>
                <c:ptCount val="1"/>
                <c:pt idx="0">
                  <c:v>4.64857845525</c:v>
                </c:pt>
              </c:numCache>
            </c:numRef>
          </c:xVal>
          <c:yVal>
            <c:numRef>
              <c:f>'Beispiel 3'!$Y$97</c:f>
              <c:numCache>
                <c:formatCode>General</c:formatCode>
                <c:ptCount val="1"/>
                <c:pt idx="0">
                  <c:v>387.38153793750001</c:v>
                </c:pt>
              </c:numCache>
            </c:numRef>
          </c:yVal>
          <c:smooth val="1"/>
          <c:extLst>
            <c:ext xmlns:c16="http://schemas.microsoft.com/office/drawing/2014/chart" uri="{C3380CC4-5D6E-409C-BE32-E72D297353CC}">
              <c16:uniqueId val="{00000005-BE50-45B2-A8A0-30340CB72DF8}"/>
            </c:ext>
          </c:extLst>
        </c:ser>
        <c:dLbls>
          <c:showLegendKey val="0"/>
          <c:showVal val="0"/>
          <c:showCatName val="0"/>
          <c:showSerName val="0"/>
          <c:showPercent val="0"/>
          <c:showBubbleSize val="0"/>
        </c:dLbls>
        <c:axId val="467686616"/>
        <c:axId val="467687400"/>
      </c:scatterChart>
      <c:valAx>
        <c:axId val="467686616"/>
        <c:scaling>
          <c:orientation val="minMax"/>
          <c:min val="0"/>
        </c:scaling>
        <c:delete val="0"/>
        <c:axPos val="b"/>
        <c:title>
          <c:tx>
            <c:rich>
              <a:bodyPr rot="0" spcFirstLastPara="1" vertOverflow="ellipsis" vert="horz" wrap="square" anchor="ctr" anchorCtr="1"/>
              <a:lstStyle/>
              <a:p>
                <a:pPr>
                  <a:defRPr sz="1000" b="0" i="0" u="none" strike="noStrike" kern="1200" baseline="0">
                    <a:ln>
                      <a:noFill/>
                    </a:ln>
                    <a:solidFill>
                      <a:sysClr val="windowText" lastClr="000000"/>
                    </a:solidFill>
                    <a:latin typeface="+mn-lt"/>
                    <a:ea typeface="+mn-ea"/>
                    <a:cs typeface="+mn-cs"/>
                  </a:defRPr>
                </a:pPr>
                <a:r>
                  <a:rPr lang="de-AT" b="1">
                    <a:ln>
                      <a:noFill/>
                    </a:ln>
                    <a:solidFill>
                      <a:sysClr val="windowText" lastClr="000000"/>
                    </a:solidFill>
                  </a:rPr>
                  <a:t>Biegemoment [kNm/m]</a:t>
                </a:r>
              </a:p>
            </c:rich>
          </c:tx>
          <c:layout>
            <c:manualLayout>
              <c:xMode val="edge"/>
              <c:yMode val="edge"/>
              <c:x val="0.23715453004176493"/>
              <c:y val="0.9001975578278566"/>
            </c:manualLayout>
          </c:layout>
          <c:overlay val="0"/>
          <c:spPr>
            <a:noFill/>
            <a:ln>
              <a:noFill/>
            </a:ln>
            <a:effectLst/>
          </c:spPr>
          <c:txPr>
            <a:bodyPr rot="0" spcFirstLastPara="1" vertOverflow="ellipsis" vert="horz" wrap="square" anchor="ctr" anchorCtr="1"/>
            <a:lstStyle/>
            <a:p>
              <a:pPr>
                <a:defRPr sz="1000" b="0" i="0" u="none" strike="noStrike" kern="1200" baseline="0">
                  <a:ln>
                    <a:noFill/>
                  </a:ln>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7400"/>
        <c:crosses val="autoZero"/>
        <c:crossBetween val="midCat"/>
      </c:valAx>
      <c:valAx>
        <c:axId val="467687400"/>
        <c:scaling>
          <c:orientation val="minMax"/>
          <c:min val="0"/>
        </c:scaling>
        <c:delete val="0"/>
        <c:axPos val="l"/>
        <c:majorGridlines>
          <c:spPr>
            <a:ln w="9525" cap="flat" cmpd="sng" algn="ctr">
              <a:solidFill>
                <a:schemeClr val="tx1">
                  <a:lumMod val="50000"/>
                  <a:lumOff val="50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de-AT" b="1">
                    <a:solidFill>
                      <a:sysClr val="windowText" lastClr="000000"/>
                    </a:solidFill>
                  </a:rPr>
                  <a:t>Normalkraft [kN/m]</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6616"/>
        <c:crosses val="autoZero"/>
        <c:crossBetween val="midCat"/>
      </c:valAx>
      <c:spPr>
        <a:noFill/>
        <a:ln>
          <a:noFill/>
        </a:ln>
        <a:effectLst/>
      </c:spPr>
    </c:plotArea>
    <c:legend>
      <c:legendPos val="r"/>
      <c:layout>
        <c:manualLayout>
          <c:xMode val="edge"/>
          <c:yMode val="edge"/>
          <c:x val="0.77345070359045776"/>
          <c:y val="2.5939682068043389E-2"/>
          <c:w val="0.21361413380805722"/>
          <c:h val="0.9363244688753528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374567901234571"/>
        </c:manualLayout>
      </c:layout>
      <c:scatterChart>
        <c:scatterStyle val="lineMarker"/>
        <c:varyColors val="0"/>
        <c:ser>
          <c:idx val="0"/>
          <c:order val="0"/>
          <c:tx>
            <c:strRef>
              <c:f>'Beispiel 3'!$T$31</c:f>
              <c:strCache>
                <c:ptCount val="1"/>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AB73-49AB-BEB8-D1594AD1AE5D}"/>
                </c:ext>
              </c:extLst>
            </c:dLbl>
            <c:dLbl>
              <c:idx val="1"/>
              <c:delete val="1"/>
              <c:extLst>
                <c:ext xmlns:c15="http://schemas.microsoft.com/office/drawing/2012/chart" uri="{CE6537A1-D6FC-4f65-9D91-7224C49458BB}"/>
                <c:ext xmlns:c16="http://schemas.microsoft.com/office/drawing/2014/chart" uri="{C3380CC4-5D6E-409C-BE32-E72D297353CC}">
                  <c16:uniqueId val="{00000001-AB73-49AB-BEB8-D1594AD1AE5D}"/>
                </c:ext>
              </c:extLst>
            </c:dLbl>
            <c:dLbl>
              <c:idx val="2"/>
              <c:delete val="1"/>
              <c:extLst>
                <c:ext xmlns:c15="http://schemas.microsoft.com/office/drawing/2012/chart" uri="{CE6537A1-D6FC-4f65-9D91-7224C49458BB}"/>
                <c:ext xmlns:c16="http://schemas.microsoft.com/office/drawing/2014/chart" uri="{C3380CC4-5D6E-409C-BE32-E72D297353CC}">
                  <c16:uniqueId val="{00000002-AB73-49AB-BEB8-D1594AD1AE5D}"/>
                </c:ext>
              </c:extLst>
            </c:dLbl>
            <c:dLbl>
              <c:idx val="3"/>
              <c:delete val="1"/>
              <c:extLst>
                <c:ext xmlns:c15="http://schemas.microsoft.com/office/drawing/2012/chart" uri="{CE6537A1-D6FC-4f65-9D91-7224C49458BB}"/>
                <c:ext xmlns:c16="http://schemas.microsoft.com/office/drawing/2014/chart" uri="{C3380CC4-5D6E-409C-BE32-E72D297353CC}">
                  <c16:uniqueId val="{00000003-AB73-49AB-BEB8-D1594AD1AE5D}"/>
                </c:ext>
              </c:extLst>
            </c:dLbl>
            <c:dLbl>
              <c:idx val="4"/>
              <c:delete val="1"/>
              <c:extLst>
                <c:ext xmlns:c15="http://schemas.microsoft.com/office/drawing/2012/chart" uri="{CE6537A1-D6FC-4f65-9D91-7224C49458BB}"/>
                <c:ext xmlns:c16="http://schemas.microsoft.com/office/drawing/2014/chart" uri="{C3380CC4-5D6E-409C-BE32-E72D297353CC}">
                  <c16:uniqueId val="{00000004-AB73-49AB-BEB8-D1594AD1AE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3'!$AE$31:$AJ$31</c:f>
              <c:numCache>
                <c:formatCode>General</c:formatCode>
                <c:ptCount val="6"/>
                <c:pt idx="0">
                  <c:v>1.6</c:v>
                </c:pt>
                <c:pt idx="1">
                  <c:v>1.6</c:v>
                </c:pt>
                <c:pt idx="2">
                  <c:v>-1.6</c:v>
                </c:pt>
                <c:pt idx="3">
                  <c:v>-1.6</c:v>
                </c:pt>
                <c:pt idx="4">
                  <c:v>1.6</c:v>
                </c:pt>
                <c:pt idx="5">
                  <c:v>1.6</c:v>
                </c:pt>
              </c:numCache>
            </c:numRef>
          </c:xVal>
          <c:yVal>
            <c:numRef>
              <c:f>'Beispiel 3'!$V$32:$AA$32</c:f>
              <c:numCache>
                <c:formatCode>General</c:formatCode>
                <c:ptCount val="6"/>
                <c:pt idx="0">
                  <c:v>0</c:v>
                </c:pt>
                <c:pt idx="1">
                  <c:v>1</c:v>
                </c:pt>
                <c:pt idx="2">
                  <c:v>1</c:v>
                </c:pt>
                <c:pt idx="3">
                  <c:v>0</c:v>
                </c:pt>
                <c:pt idx="4">
                  <c:v>0</c:v>
                </c:pt>
                <c:pt idx="5">
                  <c:v>0.5</c:v>
                </c:pt>
              </c:numCache>
            </c:numRef>
          </c:yVal>
          <c:smooth val="0"/>
          <c:extLst>
            <c:ext xmlns:c16="http://schemas.microsoft.com/office/drawing/2014/chart" uri="{C3380CC4-5D6E-409C-BE32-E72D297353CC}">
              <c16:uniqueId val="{00000005-AB73-49AB-BEB8-D1594AD1AE5D}"/>
            </c:ext>
          </c:extLst>
        </c:ser>
        <c:ser>
          <c:idx val="1"/>
          <c:order val="1"/>
          <c:tx>
            <c:strRef>
              <c:f>'Beispiel 3'!$T$33</c:f>
              <c:strCache>
                <c:ptCount val="1"/>
                <c:pt idx="0">
                  <c:v>Wand 2</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AB73-49AB-BEB8-D1594AD1AE5D}"/>
                </c:ext>
              </c:extLst>
            </c:dLbl>
            <c:dLbl>
              <c:idx val="1"/>
              <c:delete val="1"/>
              <c:extLst>
                <c:ext xmlns:c15="http://schemas.microsoft.com/office/drawing/2012/chart" uri="{CE6537A1-D6FC-4f65-9D91-7224C49458BB}"/>
                <c:ext xmlns:c16="http://schemas.microsoft.com/office/drawing/2014/chart" uri="{C3380CC4-5D6E-409C-BE32-E72D297353CC}">
                  <c16:uniqueId val="{00000007-AB73-49AB-BEB8-D1594AD1AE5D}"/>
                </c:ext>
              </c:extLst>
            </c:dLbl>
            <c:dLbl>
              <c:idx val="2"/>
              <c:delete val="1"/>
              <c:extLst>
                <c:ext xmlns:c15="http://schemas.microsoft.com/office/drawing/2012/chart" uri="{CE6537A1-D6FC-4f65-9D91-7224C49458BB}"/>
                <c:ext xmlns:c16="http://schemas.microsoft.com/office/drawing/2014/chart" uri="{C3380CC4-5D6E-409C-BE32-E72D297353CC}">
                  <c16:uniqueId val="{00000008-AB73-49AB-BEB8-D1594AD1AE5D}"/>
                </c:ext>
              </c:extLst>
            </c:dLbl>
            <c:dLbl>
              <c:idx val="3"/>
              <c:delete val="1"/>
              <c:extLst>
                <c:ext xmlns:c15="http://schemas.microsoft.com/office/drawing/2012/chart" uri="{CE6537A1-D6FC-4f65-9D91-7224C49458BB}"/>
                <c:ext xmlns:c16="http://schemas.microsoft.com/office/drawing/2014/chart" uri="{C3380CC4-5D6E-409C-BE32-E72D297353CC}">
                  <c16:uniqueId val="{00000009-AB73-49AB-BEB8-D1594AD1AE5D}"/>
                </c:ext>
              </c:extLst>
            </c:dLbl>
            <c:dLbl>
              <c:idx val="4"/>
              <c:delete val="1"/>
              <c:extLst>
                <c:ext xmlns:c15="http://schemas.microsoft.com/office/drawing/2012/chart" uri="{CE6537A1-D6FC-4f65-9D91-7224C49458BB}"/>
                <c:ext xmlns:c16="http://schemas.microsoft.com/office/drawing/2014/chart" uri="{C3380CC4-5D6E-409C-BE32-E72D297353CC}">
                  <c16:uniqueId val="{0000000A-AB73-49AB-BEB8-D1594AD1AE5D}"/>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3'!$AE$33:$AJ$33</c:f>
              <c:numCache>
                <c:formatCode>General</c:formatCode>
                <c:ptCount val="6"/>
                <c:pt idx="0">
                  <c:v>1.5</c:v>
                </c:pt>
                <c:pt idx="1">
                  <c:v>1.5</c:v>
                </c:pt>
                <c:pt idx="2">
                  <c:v>-1.5</c:v>
                </c:pt>
                <c:pt idx="3">
                  <c:v>-1.5</c:v>
                </c:pt>
                <c:pt idx="4">
                  <c:v>1.5</c:v>
                </c:pt>
                <c:pt idx="5">
                  <c:v>1.5</c:v>
                </c:pt>
              </c:numCache>
            </c:numRef>
          </c:xVal>
          <c:yVal>
            <c:numRef>
              <c:f>'Beispiel 3'!$V$34:$AA$34</c:f>
              <c:numCache>
                <c:formatCode>General</c:formatCode>
                <c:ptCount val="6"/>
                <c:pt idx="0">
                  <c:v>1.2</c:v>
                </c:pt>
                <c:pt idx="1">
                  <c:v>3.8449999999999998</c:v>
                </c:pt>
                <c:pt idx="2">
                  <c:v>3.8449999999999998</c:v>
                </c:pt>
                <c:pt idx="3">
                  <c:v>1.2</c:v>
                </c:pt>
                <c:pt idx="4">
                  <c:v>1.2</c:v>
                </c:pt>
                <c:pt idx="5">
                  <c:v>2.5225</c:v>
                </c:pt>
              </c:numCache>
            </c:numRef>
          </c:yVal>
          <c:smooth val="0"/>
          <c:extLst>
            <c:ext xmlns:c16="http://schemas.microsoft.com/office/drawing/2014/chart" uri="{C3380CC4-5D6E-409C-BE32-E72D297353CC}">
              <c16:uniqueId val="{0000000B-AB73-49AB-BEB8-D1594AD1AE5D}"/>
            </c:ext>
          </c:extLst>
        </c:ser>
        <c:ser>
          <c:idx val="2"/>
          <c:order val="2"/>
          <c:tx>
            <c:strRef>
              <c:f>'Beispiel 3'!$T$35</c:f>
              <c:strCache>
                <c:ptCount val="1"/>
                <c:pt idx="0">
                  <c:v>Wand 3</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AB73-49AB-BEB8-D1594AD1AE5D}"/>
                </c:ext>
              </c:extLst>
            </c:dLbl>
            <c:dLbl>
              <c:idx val="1"/>
              <c:delete val="1"/>
              <c:extLst>
                <c:ext xmlns:c15="http://schemas.microsoft.com/office/drawing/2012/chart" uri="{CE6537A1-D6FC-4f65-9D91-7224C49458BB}"/>
                <c:ext xmlns:c16="http://schemas.microsoft.com/office/drawing/2014/chart" uri="{C3380CC4-5D6E-409C-BE32-E72D297353CC}">
                  <c16:uniqueId val="{0000000D-AB73-49AB-BEB8-D1594AD1AE5D}"/>
                </c:ext>
              </c:extLst>
            </c:dLbl>
            <c:dLbl>
              <c:idx val="2"/>
              <c:delete val="1"/>
              <c:extLst>
                <c:ext xmlns:c15="http://schemas.microsoft.com/office/drawing/2012/chart" uri="{CE6537A1-D6FC-4f65-9D91-7224C49458BB}"/>
                <c:ext xmlns:c16="http://schemas.microsoft.com/office/drawing/2014/chart" uri="{C3380CC4-5D6E-409C-BE32-E72D297353CC}">
                  <c16:uniqueId val="{0000000E-AB73-49AB-BEB8-D1594AD1AE5D}"/>
                </c:ext>
              </c:extLst>
            </c:dLbl>
            <c:dLbl>
              <c:idx val="3"/>
              <c:delete val="1"/>
              <c:extLst>
                <c:ext xmlns:c15="http://schemas.microsoft.com/office/drawing/2012/chart" uri="{CE6537A1-D6FC-4f65-9D91-7224C49458BB}"/>
                <c:ext xmlns:c16="http://schemas.microsoft.com/office/drawing/2014/chart" uri="{C3380CC4-5D6E-409C-BE32-E72D297353CC}">
                  <c16:uniqueId val="{0000000F-AB73-49AB-BEB8-D1594AD1AE5D}"/>
                </c:ext>
              </c:extLst>
            </c:dLbl>
            <c:dLbl>
              <c:idx val="4"/>
              <c:delete val="1"/>
              <c:extLst>
                <c:ext xmlns:c15="http://schemas.microsoft.com/office/drawing/2012/chart" uri="{CE6537A1-D6FC-4f65-9D91-7224C49458BB}"/>
                <c:ext xmlns:c16="http://schemas.microsoft.com/office/drawing/2014/chart" uri="{C3380CC4-5D6E-409C-BE32-E72D297353CC}">
                  <c16:uniqueId val="{00000010-AB73-49AB-BEB8-D1594AD1AE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3'!$AE$35:$AJ$35</c:f>
              <c:numCache>
                <c:formatCode>General</c:formatCode>
                <c:ptCount val="6"/>
                <c:pt idx="0">
                  <c:v>1.5</c:v>
                </c:pt>
                <c:pt idx="1">
                  <c:v>1.5</c:v>
                </c:pt>
                <c:pt idx="2">
                  <c:v>-1.5</c:v>
                </c:pt>
                <c:pt idx="3">
                  <c:v>-1.5</c:v>
                </c:pt>
                <c:pt idx="4">
                  <c:v>1.5</c:v>
                </c:pt>
                <c:pt idx="5">
                  <c:v>1.5</c:v>
                </c:pt>
              </c:numCache>
            </c:numRef>
          </c:xVal>
          <c:yVal>
            <c:numRef>
              <c:f>'Beispiel 3'!$V$36:$AA$36</c:f>
              <c:numCache>
                <c:formatCode>General</c:formatCode>
                <c:ptCount val="6"/>
                <c:pt idx="0">
                  <c:v>4.0449999999999999</c:v>
                </c:pt>
                <c:pt idx="1">
                  <c:v>7.0449999999999999</c:v>
                </c:pt>
                <c:pt idx="2">
                  <c:v>7.0449999999999999</c:v>
                </c:pt>
                <c:pt idx="3">
                  <c:v>4.0449999999999999</c:v>
                </c:pt>
                <c:pt idx="4">
                  <c:v>4.0449999999999999</c:v>
                </c:pt>
                <c:pt idx="5">
                  <c:v>5.5449999999999999</c:v>
                </c:pt>
              </c:numCache>
            </c:numRef>
          </c:yVal>
          <c:smooth val="0"/>
          <c:extLst>
            <c:ext xmlns:c16="http://schemas.microsoft.com/office/drawing/2014/chart" uri="{C3380CC4-5D6E-409C-BE32-E72D297353CC}">
              <c16:uniqueId val="{00000011-AB73-49AB-BEB8-D1594AD1AE5D}"/>
            </c:ext>
          </c:extLst>
        </c:ser>
        <c:ser>
          <c:idx val="3"/>
          <c:order val="3"/>
          <c:tx>
            <c:strRef>
              <c:f>'Beispiel 3'!$T$38</c:f>
              <c:strCache>
                <c:ptCount val="1"/>
                <c:pt idx="0">
                  <c:v>Decke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2-AB73-49AB-BEB8-D1594AD1AE5D}"/>
                </c:ext>
              </c:extLst>
            </c:dLbl>
            <c:dLbl>
              <c:idx val="1"/>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AB73-49AB-BEB8-D1594AD1AE5D}"/>
                </c:ext>
              </c:extLst>
            </c:dLbl>
            <c:dLbl>
              <c:idx val="2"/>
              <c:delete val="1"/>
              <c:extLst>
                <c:ext xmlns:c15="http://schemas.microsoft.com/office/drawing/2012/chart" uri="{CE6537A1-D6FC-4f65-9D91-7224C49458BB}"/>
                <c:ext xmlns:c16="http://schemas.microsoft.com/office/drawing/2014/chart" uri="{C3380CC4-5D6E-409C-BE32-E72D297353CC}">
                  <c16:uniqueId val="{00000014-AB73-49AB-BEB8-D1594AD1AE5D}"/>
                </c:ext>
              </c:extLst>
            </c:dLbl>
            <c:dLbl>
              <c:idx val="3"/>
              <c:delete val="1"/>
              <c:extLst>
                <c:ext xmlns:c15="http://schemas.microsoft.com/office/drawing/2012/chart" uri="{CE6537A1-D6FC-4f65-9D91-7224C49458BB}"/>
                <c:ext xmlns:c16="http://schemas.microsoft.com/office/drawing/2014/chart" uri="{C3380CC4-5D6E-409C-BE32-E72D297353CC}">
                  <c16:uniqueId val="{00000015-AB73-49AB-BEB8-D1594AD1AE5D}"/>
                </c:ext>
              </c:extLst>
            </c:dLbl>
            <c:dLbl>
              <c:idx val="4"/>
              <c:delete val="1"/>
              <c:extLst>
                <c:ext xmlns:c15="http://schemas.microsoft.com/office/drawing/2012/chart" uri="{CE6537A1-D6FC-4f65-9D91-7224C49458BB}"/>
                <c:ext xmlns:c16="http://schemas.microsoft.com/office/drawing/2014/chart" uri="{C3380CC4-5D6E-409C-BE32-E72D297353CC}">
                  <c16:uniqueId val="{00000016-AB73-49AB-BEB8-D1594AD1AE5D}"/>
                </c:ext>
              </c:extLst>
            </c:dLbl>
            <c:dLbl>
              <c:idx val="5"/>
              <c:delete val="1"/>
              <c:extLst>
                <c:ext xmlns:c15="http://schemas.microsoft.com/office/drawing/2012/chart" uri="{CE6537A1-D6FC-4f65-9D91-7224C49458BB}"/>
                <c:ext xmlns:c16="http://schemas.microsoft.com/office/drawing/2014/chart" uri="{C3380CC4-5D6E-409C-BE32-E72D297353CC}">
                  <c16:uniqueId val="{00000017-AB73-49AB-BEB8-D1594AD1AE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3'!$AE$38:$AJ$38</c:f>
              <c:numCache>
                <c:formatCode>General</c:formatCode>
                <c:ptCount val="6"/>
                <c:pt idx="0">
                  <c:v>-1.875</c:v>
                </c:pt>
                <c:pt idx="1">
                  <c:v>1.875</c:v>
                </c:pt>
                <c:pt idx="2">
                  <c:v>1.875</c:v>
                </c:pt>
                <c:pt idx="3">
                  <c:v>-1.875</c:v>
                </c:pt>
                <c:pt idx="4">
                  <c:v>-1.875</c:v>
                </c:pt>
                <c:pt idx="5">
                  <c:v>0.8</c:v>
                </c:pt>
              </c:numCache>
            </c:numRef>
          </c:xVal>
          <c:yVal>
            <c:numRef>
              <c:f>'Beispiel 3'!$AE$39:$AJ$39</c:f>
              <c:numCache>
                <c:formatCode>General</c:formatCode>
                <c:ptCount val="6"/>
                <c:pt idx="0">
                  <c:v>1</c:v>
                </c:pt>
                <c:pt idx="1">
                  <c:v>1</c:v>
                </c:pt>
                <c:pt idx="2">
                  <c:v>1.2</c:v>
                </c:pt>
                <c:pt idx="3">
                  <c:v>1.2</c:v>
                </c:pt>
                <c:pt idx="4">
                  <c:v>1</c:v>
                </c:pt>
                <c:pt idx="5">
                  <c:v>1</c:v>
                </c:pt>
              </c:numCache>
            </c:numRef>
          </c:yVal>
          <c:smooth val="0"/>
          <c:extLst>
            <c:ext xmlns:c16="http://schemas.microsoft.com/office/drawing/2014/chart" uri="{C3380CC4-5D6E-409C-BE32-E72D297353CC}">
              <c16:uniqueId val="{00000018-AB73-49AB-BEB8-D1594AD1AE5D}"/>
            </c:ext>
          </c:extLst>
        </c:ser>
        <c:ser>
          <c:idx val="4"/>
          <c:order val="4"/>
          <c:tx>
            <c:strRef>
              <c:f>'Beispiel 3'!$T$40</c:f>
              <c:strCache>
                <c:ptCount val="1"/>
                <c:pt idx="0">
                  <c:v>Decke 2</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9-AB73-49AB-BEB8-D1594AD1AE5D}"/>
                </c:ext>
              </c:extLst>
            </c:dLbl>
            <c:dLbl>
              <c:idx val="1"/>
              <c:delete val="1"/>
              <c:extLst>
                <c:ext xmlns:c15="http://schemas.microsoft.com/office/drawing/2012/chart" uri="{CE6537A1-D6FC-4f65-9D91-7224C49458BB}"/>
                <c:ext xmlns:c16="http://schemas.microsoft.com/office/drawing/2014/chart" uri="{C3380CC4-5D6E-409C-BE32-E72D297353CC}">
                  <c16:uniqueId val="{0000001A-AB73-49AB-BEB8-D1594AD1AE5D}"/>
                </c:ext>
              </c:extLst>
            </c:dLbl>
            <c:dLbl>
              <c:idx val="2"/>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AB73-49AB-BEB8-D1594AD1AE5D}"/>
                </c:ext>
              </c:extLst>
            </c:dLbl>
            <c:dLbl>
              <c:idx val="3"/>
              <c:delete val="1"/>
              <c:extLst>
                <c:ext xmlns:c15="http://schemas.microsoft.com/office/drawing/2012/chart" uri="{CE6537A1-D6FC-4f65-9D91-7224C49458BB}"/>
                <c:ext xmlns:c16="http://schemas.microsoft.com/office/drawing/2014/chart" uri="{C3380CC4-5D6E-409C-BE32-E72D297353CC}">
                  <c16:uniqueId val="{0000001C-AB73-49AB-BEB8-D1594AD1AE5D}"/>
                </c:ext>
              </c:extLst>
            </c:dLbl>
            <c:dLbl>
              <c:idx val="4"/>
              <c:delete val="1"/>
              <c:extLst>
                <c:ext xmlns:c15="http://schemas.microsoft.com/office/drawing/2012/chart" uri="{CE6537A1-D6FC-4f65-9D91-7224C49458BB}"/>
                <c:ext xmlns:c16="http://schemas.microsoft.com/office/drawing/2014/chart" uri="{C3380CC4-5D6E-409C-BE32-E72D297353CC}">
                  <c16:uniqueId val="{0000001D-AB73-49AB-BEB8-D1594AD1AE5D}"/>
                </c:ext>
              </c:extLst>
            </c:dLbl>
            <c:dLbl>
              <c:idx val="5"/>
              <c:delete val="1"/>
              <c:extLst>
                <c:ext xmlns:c15="http://schemas.microsoft.com/office/drawing/2012/chart" uri="{CE6537A1-D6FC-4f65-9D91-7224C49458BB}"/>
                <c:ext xmlns:c16="http://schemas.microsoft.com/office/drawing/2014/chart" uri="{C3380CC4-5D6E-409C-BE32-E72D297353CC}">
                  <c16:uniqueId val="{0000001E-AB73-49AB-BEB8-D1594AD1AE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3'!$AE$40:$AJ$40</c:f>
              <c:numCache>
                <c:formatCode>General</c:formatCode>
                <c:ptCount val="6"/>
                <c:pt idx="0">
                  <c:v>-1.875</c:v>
                </c:pt>
                <c:pt idx="1">
                  <c:v>1.875</c:v>
                </c:pt>
                <c:pt idx="2">
                  <c:v>1.875</c:v>
                </c:pt>
                <c:pt idx="3">
                  <c:v>-1.875</c:v>
                </c:pt>
                <c:pt idx="4">
                  <c:v>-1.875</c:v>
                </c:pt>
                <c:pt idx="5">
                  <c:v>0.75</c:v>
                </c:pt>
              </c:numCache>
            </c:numRef>
          </c:xVal>
          <c:yVal>
            <c:numRef>
              <c:f>'Beispiel 3'!$AE$41:$AJ$41</c:f>
              <c:numCache>
                <c:formatCode>General</c:formatCode>
                <c:ptCount val="6"/>
                <c:pt idx="0">
                  <c:v>3.8449999999999998</c:v>
                </c:pt>
                <c:pt idx="1">
                  <c:v>3.8449999999999998</c:v>
                </c:pt>
                <c:pt idx="2">
                  <c:v>4.0449999999999999</c:v>
                </c:pt>
                <c:pt idx="3">
                  <c:v>4.0449999999999999</c:v>
                </c:pt>
                <c:pt idx="4">
                  <c:v>3.8449999999999998</c:v>
                </c:pt>
                <c:pt idx="5">
                  <c:v>3.8449999999999998</c:v>
                </c:pt>
              </c:numCache>
            </c:numRef>
          </c:yVal>
          <c:smooth val="0"/>
          <c:extLst>
            <c:ext xmlns:c16="http://schemas.microsoft.com/office/drawing/2014/chart" uri="{C3380CC4-5D6E-409C-BE32-E72D297353CC}">
              <c16:uniqueId val="{0000001F-AB73-49AB-BEB8-D1594AD1AE5D}"/>
            </c:ext>
          </c:extLst>
        </c:ser>
        <c:ser>
          <c:idx val="11"/>
          <c:order val="5"/>
          <c:tx>
            <c:strRef>
              <c:f>'Beispiel 3'!$T$46</c:f>
              <c:strCache>
                <c:ptCount val="1"/>
                <c:pt idx="0">
                  <c:v>Outline</c:v>
                </c:pt>
              </c:strCache>
            </c:strRef>
          </c:tx>
          <c:spPr>
            <a:ln w="19050" cap="rnd">
              <a:noFill/>
              <a:round/>
            </a:ln>
            <a:effectLst/>
          </c:spPr>
          <c:marker>
            <c:symbol val="none"/>
          </c:marker>
          <c:dLbls>
            <c:delete val="1"/>
          </c:dLbls>
          <c:xVal>
            <c:numRef>
              <c:f>'Beispiel 3'!$AE$46:$AF$46</c:f>
              <c:numCache>
                <c:formatCode>General</c:formatCode>
                <c:ptCount val="2"/>
                <c:pt idx="0">
                  <c:v>7.7962500000000015</c:v>
                </c:pt>
                <c:pt idx="1">
                  <c:v>-7.7962500000000015</c:v>
                </c:pt>
              </c:numCache>
            </c:numRef>
          </c:xVal>
          <c:yVal>
            <c:numRef>
              <c:f>'Beispiel 3'!$AE$47:$AF$47</c:f>
              <c:numCache>
                <c:formatCode>General</c:formatCode>
                <c:ptCount val="2"/>
                <c:pt idx="0">
                  <c:v>7.7962500000000015</c:v>
                </c:pt>
                <c:pt idx="1">
                  <c:v>7.7962500000000015</c:v>
                </c:pt>
              </c:numCache>
            </c:numRef>
          </c:yVal>
          <c:smooth val="0"/>
          <c:extLst>
            <c:ext xmlns:c16="http://schemas.microsoft.com/office/drawing/2014/chart" uri="{C3380CC4-5D6E-409C-BE32-E72D297353CC}">
              <c16:uniqueId val="{00000020-AB73-49AB-BEB8-D1594AD1AE5D}"/>
            </c:ext>
          </c:extLst>
        </c:ser>
        <c:ser>
          <c:idx val="5"/>
          <c:order val="6"/>
          <c:tx>
            <c:strRef>
              <c:f>'Beispiel 3'!$AD$50</c:f>
              <c:strCache>
                <c:ptCount val="1"/>
                <c:pt idx="0">
                  <c:v>Fixed edges</c:v>
                </c:pt>
              </c:strCache>
            </c:strRef>
          </c:tx>
          <c:spPr>
            <a:ln w="34925" cap="rnd">
              <a:solidFill>
                <a:srgbClr val="C00000"/>
              </a:solidFill>
              <a:prstDash val="sysDash"/>
              <a:round/>
            </a:ln>
            <a:effectLst/>
          </c:spPr>
          <c:marker>
            <c:symbol val="none"/>
          </c:marker>
          <c:dLbls>
            <c:delete val="1"/>
          </c:dLbls>
          <c:xVal>
            <c:numRef>
              <c:f>'Beispiel 3'!$AE$51:$AF$51</c:f>
              <c:numCache>
                <c:formatCode>General</c:formatCode>
                <c:ptCount val="2"/>
                <c:pt idx="0">
                  <c:v>1.5</c:v>
                </c:pt>
                <c:pt idx="1">
                  <c:v>1.5</c:v>
                </c:pt>
              </c:numCache>
            </c:numRef>
          </c:xVal>
          <c:yVal>
            <c:numRef>
              <c:f>'Beispiel 3'!$AE$52:$AF$52</c:f>
              <c:numCache>
                <c:formatCode>General</c:formatCode>
                <c:ptCount val="2"/>
                <c:pt idx="0">
                  <c:v>1.2</c:v>
                </c:pt>
                <c:pt idx="1">
                  <c:v>3.8449999999999998</c:v>
                </c:pt>
              </c:numCache>
            </c:numRef>
          </c:yVal>
          <c:smooth val="0"/>
          <c:extLst>
            <c:ext xmlns:c16="http://schemas.microsoft.com/office/drawing/2014/chart" uri="{C3380CC4-5D6E-409C-BE32-E72D297353CC}">
              <c16:uniqueId val="{00000021-AB73-49AB-BEB8-D1594AD1AE5D}"/>
            </c:ext>
          </c:extLst>
        </c:ser>
        <c:ser>
          <c:idx val="6"/>
          <c:order val="7"/>
          <c:tx>
            <c:strRef>
              <c:f>'Beispiel 3'!$AD$50</c:f>
              <c:strCache>
                <c:ptCount val="1"/>
                <c:pt idx="0">
                  <c:v>Fixed edges</c:v>
                </c:pt>
              </c:strCache>
            </c:strRef>
          </c:tx>
          <c:spPr>
            <a:ln w="34925" cap="rnd">
              <a:solidFill>
                <a:srgbClr val="C00000"/>
              </a:solidFill>
              <a:prstDash val="sysDash"/>
              <a:round/>
            </a:ln>
            <a:effectLst/>
          </c:spPr>
          <c:marker>
            <c:symbol val="none"/>
          </c:marker>
          <c:dLbls>
            <c:delete val="1"/>
          </c:dLbls>
          <c:xVal>
            <c:numRef>
              <c:f>'Beispiel 3'!$AE$53:$AF$53</c:f>
              <c:numCache>
                <c:formatCode>General</c:formatCode>
                <c:ptCount val="2"/>
                <c:pt idx="0">
                  <c:v>0</c:v>
                </c:pt>
                <c:pt idx="1">
                  <c:v>0</c:v>
                </c:pt>
              </c:numCache>
            </c:numRef>
          </c:xVal>
          <c:yVal>
            <c:numRef>
              <c:f>'Beispiel 3'!$AE$54:$AF$54</c:f>
              <c:numCache>
                <c:formatCode>General</c:formatCode>
                <c:ptCount val="2"/>
                <c:pt idx="0">
                  <c:v>0</c:v>
                </c:pt>
                <c:pt idx="1">
                  <c:v>0</c:v>
                </c:pt>
              </c:numCache>
            </c:numRef>
          </c:yVal>
          <c:smooth val="0"/>
          <c:extLst>
            <c:ext xmlns:c16="http://schemas.microsoft.com/office/drawing/2014/chart" uri="{C3380CC4-5D6E-409C-BE32-E72D297353CC}">
              <c16:uniqueId val="{00000022-AB73-49AB-BEB8-D1594AD1AE5D}"/>
            </c:ext>
          </c:extLst>
        </c:ser>
        <c:dLbls>
          <c:showLegendKey val="0"/>
          <c:showVal val="1"/>
          <c:showCatName val="0"/>
          <c:showSerName val="0"/>
          <c:showPercent val="0"/>
          <c:showBubbleSize val="0"/>
        </c:dLbls>
        <c:axId val="471502576"/>
        <c:axId val="471506104"/>
      </c:scatterChart>
      <c:valAx>
        <c:axId val="471502576"/>
        <c:scaling>
          <c:orientation val="minMax"/>
        </c:scaling>
        <c:delete val="0"/>
        <c:axPos val="b"/>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6104"/>
        <c:crosses val="autoZero"/>
        <c:crossBetween val="midCat"/>
        <c:majorUnit val="2"/>
      </c:valAx>
      <c:valAx>
        <c:axId val="471506104"/>
        <c:scaling>
          <c:orientation val="minMax"/>
          <c:min val="0"/>
        </c:scaling>
        <c:delete val="0"/>
        <c:axPos val="l"/>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2576"/>
        <c:crosses val="autoZero"/>
        <c:crossBetween val="midCat"/>
        <c:majorUnit val="2"/>
      </c:valAx>
      <c:spPr>
        <a:noFill/>
        <a:ln w="25400">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645138888888887E-2"/>
          <c:y val="4.8506944444444443E-2"/>
          <c:w val="0.87078402777777775"/>
          <c:h val="0.77683159722222206"/>
        </c:manualLayout>
      </c:layout>
      <c:scatterChart>
        <c:scatterStyle val="lineMarker"/>
        <c:varyColors val="0"/>
        <c:ser>
          <c:idx val="1"/>
          <c:order val="0"/>
          <c:tx>
            <c:strRef>
              <c:f>'Beispiel 3'!$X$80</c:f>
              <c:strCache>
                <c:ptCount val="1"/>
                <c:pt idx="0">
                  <c:v>Outline</c:v>
                </c:pt>
              </c:strCache>
            </c:strRef>
          </c:tx>
          <c:spPr>
            <a:ln w="25400" cap="rnd">
              <a:noFill/>
              <a:round/>
            </a:ln>
            <a:effectLst/>
          </c:spPr>
          <c:marker>
            <c:symbol val="none"/>
          </c:marker>
          <c:xVal>
            <c:numRef>
              <c:f>'Beispiel 3'!$Z$80:$AA$80</c:f>
              <c:numCache>
                <c:formatCode>0.00</c:formatCode>
                <c:ptCount val="2"/>
                <c:pt idx="0">
                  <c:v>0.60340715624999997</c:v>
                </c:pt>
                <c:pt idx="1">
                  <c:v>-0.60340715624999997</c:v>
                </c:pt>
              </c:numCache>
            </c:numRef>
          </c:xVal>
          <c:yVal>
            <c:numRef>
              <c:f>'Beispiel 3'!$Z$81:$AA$81</c:f>
              <c:numCache>
                <c:formatCode>0.00</c:formatCode>
                <c:ptCount val="2"/>
                <c:pt idx="0">
                  <c:v>2.645</c:v>
                </c:pt>
                <c:pt idx="1">
                  <c:v>2.645</c:v>
                </c:pt>
              </c:numCache>
            </c:numRef>
          </c:yVal>
          <c:smooth val="0"/>
          <c:extLst>
            <c:ext xmlns:c16="http://schemas.microsoft.com/office/drawing/2014/chart" uri="{C3380CC4-5D6E-409C-BE32-E72D297353CC}">
              <c16:uniqueId val="{00000000-E6DD-475C-837F-B9D3218399FC}"/>
            </c:ext>
          </c:extLst>
        </c:ser>
        <c:ser>
          <c:idx val="2"/>
          <c:order val="1"/>
          <c:tx>
            <c:strRef>
              <c:f>'Beispiel 3'!$T$70</c:f>
              <c:strCache>
                <c:ptCount val="1"/>
                <c:pt idx="0">
                  <c:v>Wall</c:v>
                </c:pt>
              </c:strCache>
            </c:strRef>
          </c:tx>
          <c:spPr>
            <a:ln w="19050" cap="rnd">
              <a:solidFill>
                <a:sysClr val="windowText" lastClr="000000"/>
              </a:solidFill>
              <a:round/>
            </a:ln>
            <a:effectLst/>
          </c:spPr>
          <c:marker>
            <c:symbol val="none"/>
          </c:marker>
          <c:xVal>
            <c:numRef>
              <c:f>'Beispiel 3'!$V$70:$W$70</c:f>
              <c:numCache>
                <c:formatCode>0.00</c:formatCode>
                <c:ptCount val="2"/>
                <c:pt idx="0">
                  <c:v>0</c:v>
                </c:pt>
                <c:pt idx="1">
                  <c:v>0</c:v>
                </c:pt>
              </c:numCache>
            </c:numRef>
          </c:xVal>
          <c:yVal>
            <c:numRef>
              <c:f>'Beispiel 3'!$V$71:$W$71</c:f>
              <c:numCache>
                <c:formatCode>0.00</c:formatCode>
                <c:ptCount val="2"/>
                <c:pt idx="0">
                  <c:v>0</c:v>
                </c:pt>
                <c:pt idx="1">
                  <c:v>2.645</c:v>
                </c:pt>
              </c:numCache>
            </c:numRef>
          </c:yVal>
          <c:smooth val="0"/>
          <c:extLst>
            <c:ext xmlns:c16="http://schemas.microsoft.com/office/drawing/2014/chart" uri="{C3380CC4-5D6E-409C-BE32-E72D297353CC}">
              <c16:uniqueId val="{00000001-E6DD-475C-837F-B9D3218399FC}"/>
            </c:ext>
          </c:extLst>
        </c:ser>
        <c:ser>
          <c:idx val="0"/>
          <c:order val="2"/>
          <c:tx>
            <c:strRef>
              <c:f>'Beispiel 3'!$T$63</c:f>
              <c:strCache>
                <c:ptCount val="1"/>
                <c:pt idx="0">
                  <c:v>Slab rotation</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2-E6DD-475C-837F-B9D3218399FC}"/>
                </c:ext>
              </c:extLst>
            </c:dLbl>
            <c:dLbl>
              <c:idx val="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extLst>
                <c:ext xmlns:c16="http://schemas.microsoft.com/office/drawing/2014/chart" uri="{C3380CC4-5D6E-409C-BE32-E72D297353CC}">
                  <c16:uniqueId val="{00000003-E6DD-475C-837F-B9D3218399FC}"/>
                </c:ext>
              </c:extLst>
            </c:dLbl>
            <c:dLbl>
              <c:idx val="2"/>
              <c:delete val="1"/>
              <c:extLst>
                <c:ext xmlns:c15="http://schemas.microsoft.com/office/drawing/2012/chart" uri="{CE6537A1-D6FC-4f65-9D91-7224C49458BB}"/>
                <c:ext xmlns:c16="http://schemas.microsoft.com/office/drawing/2014/chart" uri="{C3380CC4-5D6E-409C-BE32-E72D297353CC}">
                  <c16:uniqueId val="{00000004-E6DD-475C-837F-B9D3218399FC}"/>
                </c:ext>
              </c:extLst>
            </c:dLbl>
            <c:dLbl>
              <c:idx val="3"/>
              <c:delete val="1"/>
              <c:extLst>
                <c:ext xmlns:c15="http://schemas.microsoft.com/office/drawing/2012/chart" uri="{CE6537A1-D6FC-4f65-9D91-7224C49458BB}"/>
                <c:ext xmlns:c16="http://schemas.microsoft.com/office/drawing/2014/chart" uri="{C3380CC4-5D6E-409C-BE32-E72D297353CC}">
                  <c16:uniqueId val="{00000005-E6DD-475C-837F-B9D3218399FC}"/>
                </c:ext>
              </c:extLst>
            </c:dLbl>
            <c:dLbl>
              <c:idx val="4"/>
              <c:delete val="1"/>
              <c:extLst>
                <c:ext xmlns:c15="http://schemas.microsoft.com/office/drawing/2012/chart" uri="{CE6537A1-D6FC-4f65-9D91-7224C49458BB}"/>
                <c:ext xmlns:c16="http://schemas.microsoft.com/office/drawing/2014/chart" uri="{C3380CC4-5D6E-409C-BE32-E72D297353CC}">
                  <c16:uniqueId val="{00000006-E6DD-475C-837F-B9D3218399FC}"/>
                </c:ext>
              </c:extLst>
            </c:dLbl>
            <c:dLbl>
              <c:idx val="5"/>
              <c:delete val="1"/>
              <c:extLst>
                <c:ext xmlns:c15="http://schemas.microsoft.com/office/drawing/2012/chart" uri="{CE6537A1-D6FC-4f65-9D91-7224C49458BB}"/>
                <c:ext xmlns:c16="http://schemas.microsoft.com/office/drawing/2014/chart" uri="{C3380CC4-5D6E-409C-BE32-E72D297353CC}">
                  <c16:uniqueId val="{00000007-E6DD-475C-837F-B9D3218399FC}"/>
                </c:ext>
              </c:extLst>
            </c:dLbl>
            <c:dLbl>
              <c:idx val="6"/>
              <c:delete val="1"/>
              <c:extLst>
                <c:ext xmlns:c15="http://schemas.microsoft.com/office/drawing/2012/chart" uri="{CE6537A1-D6FC-4f65-9D91-7224C49458BB}"/>
                <c:ext xmlns:c16="http://schemas.microsoft.com/office/drawing/2014/chart" uri="{C3380CC4-5D6E-409C-BE32-E72D297353CC}">
                  <c16:uniqueId val="{00000008-E6DD-475C-837F-B9D3218399FC}"/>
                </c:ext>
              </c:extLst>
            </c:dLbl>
            <c:dLbl>
              <c:idx val="7"/>
              <c:delete val="1"/>
              <c:extLst>
                <c:ext xmlns:c15="http://schemas.microsoft.com/office/drawing/2012/chart" uri="{CE6537A1-D6FC-4f65-9D91-7224C49458BB}"/>
                <c:ext xmlns:c16="http://schemas.microsoft.com/office/drawing/2014/chart" uri="{C3380CC4-5D6E-409C-BE32-E72D297353CC}">
                  <c16:uniqueId val="{00000009-E6DD-475C-837F-B9D3218399FC}"/>
                </c:ext>
              </c:extLst>
            </c:dLbl>
            <c:dLbl>
              <c:idx val="8"/>
              <c:delete val="1"/>
              <c:extLst>
                <c:ext xmlns:c15="http://schemas.microsoft.com/office/drawing/2012/chart" uri="{CE6537A1-D6FC-4f65-9D91-7224C49458BB}"/>
                <c:ext xmlns:c16="http://schemas.microsoft.com/office/drawing/2014/chart" uri="{C3380CC4-5D6E-409C-BE32-E72D297353CC}">
                  <c16:uniqueId val="{0000000A-E6DD-475C-837F-B9D3218399FC}"/>
                </c:ext>
              </c:extLst>
            </c:dLbl>
            <c:dLbl>
              <c:idx val="9"/>
              <c:delete val="1"/>
              <c:extLst>
                <c:ext xmlns:c15="http://schemas.microsoft.com/office/drawing/2012/chart" uri="{CE6537A1-D6FC-4f65-9D91-7224C49458BB}"/>
                <c:ext xmlns:c16="http://schemas.microsoft.com/office/drawing/2014/chart" uri="{C3380CC4-5D6E-409C-BE32-E72D297353CC}">
                  <c16:uniqueId val="{0000000B-E6DD-475C-837F-B9D3218399FC}"/>
                </c:ext>
              </c:extLst>
            </c:dLbl>
            <c:dLbl>
              <c:idx val="10"/>
              <c:delete val="1"/>
              <c:extLst>
                <c:ext xmlns:c15="http://schemas.microsoft.com/office/drawing/2012/chart" uri="{CE6537A1-D6FC-4f65-9D91-7224C49458BB}"/>
                <c:ext xmlns:c16="http://schemas.microsoft.com/office/drawing/2014/chart" uri="{C3380CC4-5D6E-409C-BE32-E72D297353CC}">
                  <c16:uniqueId val="{0000000C-E6DD-475C-837F-B9D3218399FC}"/>
                </c:ext>
              </c:extLst>
            </c:dLbl>
            <c:dLbl>
              <c:idx val="1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D-E6DD-475C-837F-B9D3218399FC}"/>
                </c:ext>
              </c:extLst>
            </c:dLbl>
            <c:dLbl>
              <c:idx val="12"/>
              <c:delete val="1"/>
              <c:extLst>
                <c:ext xmlns:c15="http://schemas.microsoft.com/office/drawing/2012/chart" uri="{CE6537A1-D6FC-4f65-9D91-7224C49458BB}"/>
                <c:ext xmlns:c16="http://schemas.microsoft.com/office/drawing/2014/chart" uri="{C3380CC4-5D6E-409C-BE32-E72D297353CC}">
                  <c16:uniqueId val="{0000000E-E6DD-475C-837F-B9D3218399FC}"/>
                </c:ext>
              </c:extLst>
            </c:dLbl>
            <c:dLbl>
              <c:idx val="13"/>
              <c:delete val="1"/>
              <c:extLst>
                <c:ext xmlns:c15="http://schemas.microsoft.com/office/drawing/2012/chart" uri="{CE6537A1-D6FC-4f65-9D91-7224C49458BB}"/>
                <c:ext xmlns:c16="http://schemas.microsoft.com/office/drawing/2014/chart" uri="{C3380CC4-5D6E-409C-BE32-E72D297353CC}">
                  <c16:uniqueId val="{0000000F-E6DD-475C-837F-B9D3218399FC}"/>
                </c:ext>
              </c:extLst>
            </c:dLbl>
            <c:dLbl>
              <c:idx val="14"/>
              <c:delete val="1"/>
              <c:extLst>
                <c:ext xmlns:c15="http://schemas.microsoft.com/office/drawing/2012/chart" uri="{CE6537A1-D6FC-4f65-9D91-7224C49458BB}"/>
                <c:ext xmlns:c16="http://schemas.microsoft.com/office/drawing/2014/chart" uri="{C3380CC4-5D6E-409C-BE32-E72D297353CC}">
                  <c16:uniqueId val="{00000010-E6DD-475C-837F-B9D3218399FC}"/>
                </c:ext>
              </c:extLst>
            </c:dLbl>
            <c:dLbl>
              <c:idx val="15"/>
              <c:delete val="1"/>
              <c:extLst>
                <c:ext xmlns:c15="http://schemas.microsoft.com/office/drawing/2012/chart" uri="{CE6537A1-D6FC-4f65-9D91-7224C49458BB}"/>
                <c:ext xmlns:c16="http://schemas.microsoft.com/office/drawing/2014/chart" uri="{C3380CC4-5D6E-409C-BE32-E72D297353CC}">
                  <c16:uniqueId val="{00000011-E6DD-475C-837F-B9D3218399FC}"/>
                </c:ext>
              </c:extLst>
            </c:dLbl>
            <c:dLbl>
              <c:idx val="16"/>
              <c:delete val="1"/>
              <c:extLst>
                <c:ext xmlns:c15="http://schemas.microsoft.com/office/drawing/2012/chart" uri="{CE6537A1-D6FC-4f65-9D91-7224C49458BB}"/>
                <c:ext xmlns:c16="http://schemas.microsoft.com/office/drawing/2014/chart" uri="{C3380CC4-5D6E-409C-BE32-E72D297353CC}">
                  <c16:uniqueId val="{00000012-E6DD-475C-837F-B9D3218399FC}"/>
                </c:ext>
              </c:extLst>
            </c:dLbl>
            <c:dLbl>
              <c:idx val="17"/>
              <c:delete val="1"/>
              <c:extLst>
                <c:ext xmlns:c15="http://schemas.microsoft.com/office/drawing/2012/chart" uri="{CE6537A1-D6FC-4f65-9D91-7224C49458BB}"/>
                <c:ext xmlns:c16="http://schemas.microsoft.com/office/drawing/2014/chart" uri="{C3380CC4-5D6E-409C-BE32-E72D297353CC}">
                  <c16:uniqueId val="{00000013-E6DD-475C-837F-B9D3218399FC}"/>
                </c:ext>
              </c:extLst>
            </c:dLbl>
            <c:dLbl>
              <c:idx val="18"/>
              <c:delete val="1"/>
              <c:extLst>
                <c:ext xmlns:c15="http://schemas.microsoft.com/office/drawing/2012/chart" uri="{CE6537A1-D6FC-4f65-9D91-7224C49458BB}"/>
                <c:ext xmlns:c16="http://schemas.microsoft.com/office/drawing/2014/chart" uri="{C3380CC4-5D6E-409C-BE32-E72D297353CC}">
                  <c16:uniqueId val="{00000014-E6DD-475C-837F-B9D3218399FC}"/>
                </c:ext>
              </c:extLst>
            </c:dLbl>
            <c:dLbl>
              <c:idx val="19"/>
              <c:delete val="1"/>
              <c:extLst>
                <c:ext xmlns:c15="http://schemas.microsoft.com/office/drawing/2012/chart" uri="{CE6537A1-D6FC-4f65-9D91-7224C49458BB}"/>
                <c:ext xmlns:c16="http://schemas.microsoft.com/office/drawing/2014/chart" uri="{C3380CC4-5D6E-409C-BE32-E72D297353CC}">
                  <c16:uniqueId val="{00000015-E6DD-475C-837F-B9D3218399FC}"/>
                </c:ext>
              </c:extLst>
            </c:dLbl>
            <c:dLbl>
              <c:idx val="20"/>
              <c:delete val="1"/>
              <c:extLst>
                <c:ext xmlns:c15="http://schemas.microsoft.com/office/drawing/2012/chart" uri="{CE6537A1-D6FC-4f65-9D91-7224C49458BB}"/>
                <c:ext xmlns:c16="http://schemas.microsoft.com/office/drawing/2014/chart" uri="{C3380CC4-5D6E-409C-BE32-E72D297353CC}">
                  <c16:uniqueId val="{00000016-E6DD-475C-837F-B9D3218399FC}"/>
                </c:ext>
              </c:extLst>
            </c:dLbl>
            <c:dLbl>
              <c:idx val="2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extLst>
                <c:ext xmlns:c16="http://schemas.microsoft.com/office/drawing/2014/chart" uri="{C3380CC4-5D6E-409C-BE32-E72D297353CC}">
                  <c16:uniqueId val="{00000017-E6DD-475C-837F-B9D3218399FC}"/>
                </c:ext>
              </c:extLst>
            </c:dLbl>
            <c:dLbl>
              <c:idx val="22"/>
              <c:delete val="1"/>
              <c:extLst>
                <c:ext xmlns:c15="http://schemas.microsoft.com/office/drawing/2012/chart" uri="{CE6537A1-D6FC-4f65-9D91-7224C49458BB}"/>
                <c:ext xmlns:c16="http://schemas.microsoft.com/office/drawing/2014/chart" uri="{C3380CC4-5D6E-409C-BE32-E72D297353CC}">
                  <c16:uniqueId val="{00000018-E6DD-475C-837F-B9D3218399F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3'!$AD$61:$AD$83</c:f>
              <c:numCache>
                <c:formatCode>General</c:formatCode>
                <c:ptCount val="23"/>
                <c:pt idx="0">
                  <c:v>0</c:v>
                </c:pt>
                <c:pt idx="1">
                  <c:v>-0.52470187499999998</c:v>
                </c:pt>
                <c:pt idx="2">
                  <c:v>-0.32531516250000003</c:v>
                </c:pt>
                <c:pt idx="3">
                  <c:v>-0.14691652499999991</c:v>
                </c:pt>
                <c:pt idx="4">
                  <c:v>1.0494037499999997E-2</c:v>
                </c:pt>
                <c:pt idx="5">
                  <c:v>0.14691652499999996</c:v>
                </c:pt>
                <c:pt idx="6">
                  <c:v>0.26235093750000016</c:v>
                </c:pt>
                <c:pt idx="7">
                  <c:v>0.35679727499999991</c:v>
                </c:pt>
                <c:pt idx="8">
                  <c:v>0.4302555374999999</c:v>
                </c:pt>
                <c:pt idx="9">
                  <c:v>0.48272572499999999</c:v>
                </c:pt>
                <c:pt idx="10">
                  <c:v>0.51420783749999999</c:v>
                </c:pt>
                <c:pt idx="11">
                  <c:v>0.52470187499999998</c:v>
                </c:pt>
                <c:pt idx="12">
                  <c:v>0.51420783749999999</c:v>
                </c:pt>
                <c:pt idx="13">
                  <c:v>0.48272572499999999</c:v>
                </c:pt>
                <c:pt idx="14">
                  <c:v>0.43025553749999967</c:v>
                </c:pt>
                <c:pt idx="15">
                  <c:v>0.3567972749999998</c:v>
                </c:pt>
                <c:pt idx="16">
                  <c:v>0.26235093750000016</c:v>
                </c:pt>
                <c:pt idx="17">
                  <c:v>0.14691652499999996</c:v>
                </c:pt>
                <c:pt idx="18">
                  <c:v>1.0494037500000442E-2</c:v>
                </c:pt>
                <c:pt idx="19">
                  <c:v>-0.14691652500000008</c:v>
                </c:pt>
                <c:pt idx="20">
                  <c:v>-0.32531516250000037</c:v>
                </c:pt>
                <c:pt idx="21">
                  <c:v>-0.52470187499999998</c:v>
                </c:pt>
                <c:pt idx="22">
                  <c:v>0</c:v>
                </c:pt>
              </c:numCache>
            </c:numRef>
          </c:xVal>
          <c:yVal>
            <c:numRef>
              <c:f>'Beispiel 3'!$AE$61:$AE$83</c:f>
              <c:numCache>
                <c:formatCode>General</c:formatCode>
                <c:ptCount val="23"/>
                <c:pt idx="0">
                  <c:v>0</c:v>
                </c:pt>
                <c:pt idx="1">
                  <c:v>0</c:v>
                </c:pt>
                <c:pt idx="2">
                  <c:v>0.13225000000000001</c:v>
                </c:pt>
                <c:pt idx="3">
                  <c:v>0.26450000000000001</c:v>
                </c:pt>
                <c:pt idx="4">
                  <c:v>0.39675000000000005</c:v>
                </c:pt>
                <c:pt idx="5">
                  <c:v>0.52900000000000003</c:v>
                </c:pt>
                <c:pt idx="6">
                  <c:v>0.66125</c:v>
                </c:pt>
                <c:pt idx="7">
                  <c:v>0.79350000000000009</c:v>
                </c:pt>
                <c:pt idx="8">
                  <c:v>0.92575000000000007</c:v>
                </c:pt>
                <c:pt idx="9">
                  <c:v>1.0580000000000001</c:v>
                </c:pt>
                <c:pt idx="10">
                  <c:v>1.19025</c:v>
                </c:pt>
                <c:pt idx="11">
                  <c:v>1.3225</c:v>
                </c:pt>
                <c:pt idx="12">
                  <c:v>1.45475</c:v>
                </c:pt>
                <c:pt idx="13">
                  <c:v>1.5870000000000002</c:v>
                </c:pt>
                <c:pt idx="14">
                  <c:v>1.7192499999999999</c:v>
                </c:pt>
                <c:pt idx="15">
                  <c:v>1.8515000000000001</c:v>
                </c:pt>
                <c:pt idx="16">
                  <c:v>1.9837499999999999</c:v>
                </c:pt>
                <c:pt idx="17">
                  <c:v>2.1160000000000001</c:v>
                </c:pt>
                <c:pt idx="18">
                  <c:v>2.2482500000000001</c:v>
                </c:pt>
                <c:pt idx="19">
                  <c:v>2.3805000000000001</c:v>
                </c:pt>
                <c:pt idx="20">
                  <c:v>2.51275</c:v>
                </c:pt>
                <c:pt idx="21">
                  <c:v>2.645</c:v>
                </c:pt>
                <c:pt idx="22">
                  <c:v>2.645</c:v>
                </c:pt>
              </c:numCache>
            </c:numRef>
          </c:yVal>
          <c:smooth val="0"/>
          <c:extLst>
            <c:ext xmlns:c16="http://schemas.microsoft.com/office/drawing/2014/chart" uri="{C3380CC4-5D6E-409C-BE32-E72D297353CC}">
              <c16:uniqueId val="{00000019-E6DD-475C-837F-B9D3218399FC}"/>
            </c:ext>
          </c:extLst>
        </c:ser>
        <c:dLbls>
          <c:showLegendKey val="0"/>
          <c:showVal val="0"/>
          <c:showCatName val="0"/>
          <c:showSerName val="0"/>
          <c:showPercent val="0"/>
          <c:showBubbleSize val="0"/>
        </c:dLbls>
        <c:axId val="471505320"/>
        <c:axId val="471505712"/>
      </c:scatterChart>
      <c:valAx>
        <c:axId val="47150532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AT" b="1">
                    <a:solidFill>
                      <a:sysClr val="windowText" lastClr="000000"/>
                    </a:solidFill>
                  </a:rPr>
                  <a:t>Biegemoment durch Windlast </a:t>
                </a:r>
                <a:r>
                  <a:rPr lang="de-AT" b="1" baseline="0">
                    <a:solidFill>
                      <a:sysClr val="windowText" lastClr="000000"/>
                    </a:solidFill>
                  </a:rPr>
                  <a:t>[kNm/m]</a:t>
                </a:r>
                <a:endParaRPr lang="de-AT"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in"/>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5712"/>
        <c:crosses val="autoZero"/>
        <c:crossBetween val="midCat"/>
      </c:valAx>
      <c:valAx>
        <c:axId val="471505712"/>
        <c:scaling>
          <c:orientation val="minMax"/>
          <c:min val="0"/>
        </c:scaling>
        <c:delete val="0"/>
        <c:axPos val="l"/>
        <c:numFmt formatCode="0.00" sourceLinked="1"/>
        <c:majorTickMark val="cross"/>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532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1.9696913580246913E-2"/>
          <c:w val="1"/>
          <c:h val="0.95825434027777778"/>
        </c:manualLayout>
      </c:layout>
      <c:scatterChart>
        <c:scatterStyle val="lineMarker"/>
        <c:varyColors val="0"/>
        <c:ser>
          <c:idx val="0"/>
          <c:order val="0"/>
          <c:tx>
            <c:strRef>
              <c:f>'Beispiel 3'!$S$31</c:f>
              <c:strCache>
                <c:ptCount val="1"/>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E819-46BE-BC52-6EB944717C28}"/>
                </c:ext>
              </c:extLst>
            </c:dLbl>
            <c:dLbl>
              <c:idx val="1"/>
              <c:delete val="1"/>
              <c:extLst>
                <c:ext xmlns:c15="http://schemas.microsoft.com/office/drawing/2012/chart" uri="{CE6537A1-D6FC-4f65-9D91-7224C49458BB}"/>
                <c:ext xmlns:c16="http://schemas.microsoft.com/office/drawing/2014/chart" uri="{C3380CC4-5D6E-409C-BE32-E72D297353CC}">
                  <c16:uniqueId val="{00000001-E819-46BE-BC52-6EB944717C28}"/>
                </c:ext>
              </c:extLst>
            </c:dLbl>
            <c:dLbl>
              <c:idx val="2"/>
              <c:delete val="1"/>
              <c:extLst>
                <c:ext xmlns:c15="http://schemas.microsoft.com/office/drawing/2012/chart" uri="{CE6537A1-D6FC-4f65-9D91-7224C49458BB}"/>
                <c:ext xmlns:c16="http://schemas.microsoft.com/office/drawing/2014/chart" uri="{C3380CC4-5D6E-409C-BE32-E72D297353CC}">
                  <c16:uniqueId val="{00000002-E819-46BE-BC52-6EB944717C28}"/>
                </c:ext>
              </c:extLst>
            </c:dLbl>
            <c:dLbl>
              <c:idx val="3"/>
              <c:delete val="1"/>
              <c:extLst>
                <c:ext xmlns:c15="http://schemas.microsoft.com/office/drawing/2012/chart" uri="{CE6537A1-D6FC-4f65-9D91-7224C49458BB}"/>
                <c:ext xmlns:c16="http://schemas.microsoft.com/office/drawing/2014/chart" uri="{C3380CC4-5D6E-409C-BE32-E72D297353CC}">
                  <c16:uniqueId val="{00000003-E819-46BE-BC52-6EB944717C28}"/>
                </c:ext>
              </c:extLst>
            </c:dLbl>
            <c:dLbl>
              <c:idx val="4"/>
              <c:delete val="1"/>
              <c:extLst>
                <c:ext xmlns:c15="http://schemas.microsoft.com/office/drawing/2012/chart" uri="{CE6537A1-D6FC-4f65-9D91-7224C49458BB}"/>
                <c:ext xmlns:c16="http://schemas.microsoft.com/office/drawing/2014/chart" uri="{C3380CC4-5D6E-409C-BE32-E72D297353CC}">
                  <c16:uniqueId val="{00000004-E819-46BE-BC52-6EB944717C2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3'!$V$31:$AA$31</c:f>
              <c:numCache>
                <c:formatCode>General</c:formatCode>
                <c:ptCount val="6"/>
                <c:pt idx="0">
                  <c:v>0.75</c:v>
                </c:pt>
                <c:pt idx="1">
                  <c:v>0.75</c:v>
                </c:pt>
                <c:pt idx="2">
                  <c:v>-0.75</c:v>
                </c:pt>
                <c:pt idx="3">
                  <c:v>-0.75</c:v>
                </c:pt>
                <c:pt idx="4">
                  <c:v>0.75</c:v>
                </c:pt>
                <c:pt idx="5">
                  <c:v>0.75</c:v>
                </c:pt>
              </c:numCache>
            </c:numRef>
          </c:xVal>
          <c:yVal>
            <c:numRef>
              <c:f>'Beispiel 3'!$V$32:$AA$32</c:f>
              <c:numCache>
                <c:formatCode>General</c:formatCode>
                <c:ptCount val="6"/>
                <c:pt idx="0">
                  <c:v>0</c:v>
                </c:pt>
                <c:pt idx="1">
                  <c:v>1</c:v>
                </c:pt>
                <c:pt idx="2">
                  <c:v>1</c:v>
                </c:pt>
                <c:pt idx="3">
                  <c:v>0</c:v>
                </c:pt>
                <c:pt idx="4">
                  <c:v>0</c:v>
                </c:pt>
                <c:pt idx="5">
                  <c:v>0.5</c:v>
                </c:pt>
              </c:numCache>
            </c:numRef>
          </c:yVal>
          <c:smooth val="0"/>
          <c:extLst>
            <c:ext xmlns:c16="http://schemas.microsoft.com/office/drawing/2014/chart" uri="{C3380CC4-5D6E-409C-BE32-E72D297353CC}">
              <c16:uniqueId val="{00000005-E819-46BE-BC52-6EB944717C28}"/>
            </c:ext>
          </c:extLst>
        </c:ser>
        <c:ser>
          <c:idx val="1"/>
          <c:order val="1"/>
          <c:tx>
            <c:strRef>
              <c:f>'Beispiel 3'!$S$33</c:f>
              <c:strCache>
                <c:ptCount val="1"/>
                <c:pt idx="0">
                  <c:v>W2</c:v>
                </c:pt>
              </c:strCache>
            </c:strRef>
          </c:tx>
          <c:spPr>
            <a:ln w="1270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E819-46BE-BC52-6EB944717C28}"/>
                </c:ext>
              </c:extLst>
            </c:dLbl>
            <c:dLbl>
              <c:idx val="1"/>
              <c:delete val="1"/>
              <c:extLst>
                <c:ext xmlns:c15="http://schemas.microsoft.com/office/drawing/2012/chart" uri="{CE6537A1-D6FC-4f65-9D91-7224C49458BB}"/>
                <c:ext xmlns:c16="http://schemas.microsoft.com/office/drawing/2014/chart" uri="{C3380CC4-5D6E-409C-BE32-E72D297353CC}">
                  <c16:uniqueId val="{00000007-E819-46BE-BC52-6EB944717C28}"/>
                </c:ext>
              </c:extLst>
            </c:dLbl>
            <c:dLbl>
              <c:idx val="2"/>
              <c:delete val="1"/>
              <c:extLst>
                <c:ext xmlns:c15="http://schemas.microsoft.com/office/drawing/2012/chart" uri="{CE6537A1-D6FC-4f65-9D91-7224C49458BB}"/>
                <c:ext xmlns:c16="http://schemas.microsoft.com/office/drawing/2014/chart" uri="{C3380CC4-5D6E-409C-BE32-E72D297353CC}">
                  <c16:uniqueId val="{00000008-E819-46BE-BC52-6EB944717C28}"/>
                </c:ext>
              </c:extLst>
            </c:dLbl>
            <c:dLbl>
              <c:idx val="3"/>
              <c:delete val="1"/>
              <c:extLst>
                <c:ext xmlns:c15="http://schemas.microsoft.com/office/drawing/2012/chart" uri="{CE6537A1-D6FC-4f65-9D91-7224C49458BB}"/>
                <c:ext xmlns:c16="http://schemas.microsoft.com/office/drawing/2014/chart" uri="{C3380CC4-5D6E-409C-BE32-E72D297353CC}">
                  <c16:uniqueId val="{00000009-E819-46BE-BC52-6EB944717C28}"/>
                </c:ext>
              </c:extLst>
            </c:dLbl>
            <c:dLbl>
              <c:idx val="4"/>
              <c:delete val="1"/>
              <c:extLst>
                <c:ext xmlns:c15="http://schemas.microsoft.com/office/drawing/2012/chart" uri="{CE6537A1-D6FC-4f65-9D91-7224C49458BB}"/>
                <c:ext xmlns:c16="http://schemas.microsoft.com/office/drawing/2014/chart" uri="{C3380CC4-5D6E-409C-BE32-E72D297353CC}">
                  <c16:uniqueId val="{0000000A-E819-46BE-BC52-6EB944717C2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3'!$V$33:$AA$33</c:f>
              <c:numCache>
                <c:formatCode>General</c:formatCode>
                <c:ptCount val="6"/>
                <c:pt idx="0">
                  <c:v>8.7499999999999994E-2</c:v>
                </c:pt>
                <c:pt idx="1">
                  <c:v>8.7499999999999994E-2</c:v>
                </c:pt>
                <c:pt idx="2">
                  <c:v>-8.7499999999999994E-2</c:v>
                </c:pt>
                <c:pt idx="3">
                  <c:v>-8.7499999999999994E-2</c:v>
                </c:pt>
                <c:pt idx="4">
                  <c:v>8.7499999999999994E-2</c:v>
                </c:pt>
                <c:pt idx="5">
                  <c:v>8.7499999999999994E-2</c:v>
                </c:pt>
              </c:numCache>
            </c:numRef>
          </c:xVal>
          <c:yVal>
            <c:numRef>
              <c:f>'Beispiel 3'!$V$34:$AA$34</c:f>
              <c:numCache>
                <c:formatCode>General</c:formatCode>
                <c:ptCount val="6"/>
                <c:pt idx="0">
                  <c:v>1.2</c:v>
                </c:pt>
                <c:pt idx="1">
                  <c:v>3.8449999999999998</c:v>
                </c:pt>
                <c:pt idx="2">
                  <c:v>3.8449999999999998</c:v>
                </c:pt>
                <c:pt idx="3">
                  <c:v>1.2</c:v>
                </c:pt>
                <c:pt idx="4">
                  <c:v>1.2</c:v>
                </c:pt>
                <c:pt idx="5">
                  <c:v>2.5225</c:v>
                </c:pt>
              </c:numCache>
            </c:numRef>
          </c:yVal>
          <c:smooth val="0"/>
          <c:extLst>
            <c:ext xmlns:c16="http://schemas.microsoft.com/office/drawing/2014/chart" uri="{C3380CC4-5D6E-409C-BE32-E72D297353CC}">
              <c16:uniqueId val="{0000000B-E819-46BE-BC52-6EB944717C28}"/>
            </c:ext>
          </c:extLst>
        </c:ser>
        <c:ser>
          <c:idx val="2"/>
          <c:order val="2"/>
          <c:tx>
            <c:strRef>
              <c:f>'Beispiel 3'!$S$35</c:f>
              <c:strCache>
                <c:ptCount val="1"/>
                <c:pt idx="0">
                  <c:v>W3</c:v>
                </c:pt>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E819-46BE-BC52-6EB944717C28}"/>
                </c:ext>
              </c:extLst>
            </c:dLbl>
            <c:dLbl>
              <c:idx val="1"/>
              <c:delete val="1"/>
              <c:extLst>
                <c:ext xmlns:c15="http://schemas.microsoft.com/office/drawing/2012/chart" uri="{CE6537A1-D6FC-4f65-9D91-7224C49458BB}"/>
                <c:ext xmlns:c16="http://schemas.microsoft.com/office/drawing/2014/chart" uri="{C3380CC4-5D6E-409C-BE32-E72D297353CC}">
                  <c16:uniqueId val="{0000000D-E819-46BE-BC52-6EB944717C28}"/>
                </c:ext>
              </c:extLst>
            </c:dLbl>
            <c:dLbl>
              <c:idx val="2"/>
              <c:delete val="1"/>
              <c:extLst>
                <c:ext xmlns:c15="http://schemas.microsoft.com/office/drawing/2012/chart" uri="{CE6537A1-D6FC-4f65-9D91-7224C49458BB}"/>
                <c:ext xmlns:c16="http://schemas.microsoft.com/office/drawing/2014/chart" uri="{C3380CC4-5D6E-409C-BE32-E72D297353CC}">
                  <c16:uniqueId val="{0000000E-E819-46BE-BC52-6EB944717C28}"/>
                </c:ext>
              </c:extLst>
            </c:dLbl>
            <c:dLbl>
              <c:idx val="3"/>
              <c:delete val="1"/>
              <c:extLst>
                <c:ext xmlns:c15="http://schemas.microsoft.com/office/drawing/2012/chart" uri="{CE6537A1-D6FC-4f65-9D91-7224C49458BB}"/>
                <c:ext xmlns:c16="http://schemas.microsoft.com/office/drawing/2014/chart" uri="{C3380CC4-5D6E-409C-BE32-E72D297353CC}">
                  <c16:uniqueId val="{0000000F-E819-46BE-BC52-6EB944717C28}"/>
                </c:ext>
              </c:extLst>
            </c:dLbl>
            <c:dLbl>
              <c:idx val="4"/>
              <c:delete val="1"/>
              <c:extLst>
                <c:ext xmlns:c15="http://schemas.microsoft.com/office/drawing/2012/chart" uri="{CE6537A1-D6FC-4f65-9D91-7224C49458BB}"/>
                <c:ext xmlns:c16="http://schemas.microsoft.com/office/drawing/2014/chart" uri="{C3380CC4-5D6E-409C-BE32-E72D297353CC}">
                  <c16:uniqueId val="{00000010-E819-46BE-BC52-6EB944717C2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3'!$V$35:$AA$35</c:f>
              <c:numCache>
                <c:formatCode>General</c:formatCode>
                <c:ptCount val="6"/>
                <c:pt idx="0">
                  <c:v>8.7499999999999994E-2</c:v>
                </c:pt>
                <c:pt idx="1">
                  <c:v>8.7499999999999994E-2</c:v>
                </c:pt>
                <c:pt idx="2">
                  <c:v>-8.7499999999999994E-2</c:v>
                </c:pt>
                <c:pt idx="3">
                  <c:v>-8.7499999999999994E-2</c:v>
                </c:pt>
                <c:pt idx="4">
                  <c:v>8.7499999999999994E-2</c:v>
                </c:pt>
                <c:pt idx="5">
                  <c:v>8.7499999999999994E-2</c:v>
                </c:pt>
              </c:numCache>
            </c:numRef>
          </c:xVal>
          <c:yVal>
            <c:numRef>
              <c:f>'Beispiel 3'!$V$36:$AA$36</c:f>
              <c:numCache>
                <c:formatCode>General</c:formatCode>
                <c:ptCount val="6"/>
                <c:pt idx="0">
                  <c:v>4.0449999999999999</c:v>
                </c:pt>
                <c:pt idx="1">
                  <c:v>7.0449999999999999</c:v>
                </c:pt>
                <c:pt idx="2">
                  <c:v>7.0449999999999999</c:v>
                </c:pt>
                <c:pt idx="3">
                  <c:v>4.0449999999999999</c:v>
                </c:pt>
                <c:pt idx="4">
                  <c:v>4.0449999999999999</c:v>
                </c:pt>
                <c:pt idx="5">
                  <c:v>5.5449999999999999</c:v>
                </c:pt>
              </c:numCache>
            </c:numRef>
          </c:yVal>
          <c:smooth val="0"/>
          <c:extLst>
            <c:ext xmlns:c16="http://schemas.microsoft.com/office/drawing/2014/chart" uri="{C3380CC4-5D6E-409C-BE32-E72D297353CC}">
              <c16:uniqueId val="{00000011-E819-46BE-BC52-6EB944717C28}"/>
            </c:ext>
          </c:extLst>
        </c:ser>
        <c:ser>
          <c:idx val="3"/>
          <c:order val="3"/>
          <c:tx>
            <c:strRef>
              <c:f>'Beispiel 3'!$S$38</c:f>
              <c:strCache>
                <c:ptCount val="1"/>
                <c:pt idx="0">
                  <c:v>D1</c:v>
                </c:pt>
              </c:strCache>
            </c:strRef>
          </c:tx>
          <c:spPr>
            <a:ln w="12700" cap="rnd">
              <a:solidFill>
                <a:schemeClr val="tx1"/>
              </a:solidFill>
              <a:round/>
            </a:ln>
            <a:effectLst/>
          </c:spPr>
          <c:marker>
            <c:symbol val="none"/>
          </c:marker>
          <c:dPt>
            <c:idx val="1"/>
            <c:bubble3D val="0"/>
            <c:extLst>
              <c:ext xmlns:c16="http://schemas.microsoft.com/office/drawing/2014/chart" uri="{C3380CC4-5D6E-409C-BE32-E72D297353CC}">
                <c16:uniqueId val="{00000012-E819-46BE-BC52-6EB944717C28}"/>
              </c:ext>
            </c:extLst>
          </c:dPt>
          <c:dLbls>
            <c:dLbl>
              <c:idx val="2"/>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E819-46BE-BC52-6EB944717C28}"/>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'Beispiel 3'!$V$38:$AA$38</c:f>
              <c:numCache>
                <c:formatCode>General</c:formatCode>
                <c:ptCount val="6"/>
                <c:pt idx="0">
                  <c:v>-0.1525</c:v>
                </c:pt>
                <c:pt idx="1">
                  <c:v>-0.1525</c:v>
                </c:pt>
                <c:pt idx="2">
                  <c:v>7.0875000000000004</c:v>
                </c:pt>
                <c:pt idx="3">
                  <c:v>7.0875000000000004</c:v>
                </c:pt>
                <c:pt idx="4">
                  <c:v>3.5874999999999999</c:v>
                </c:pt>
                <c:pt idx="5">
                  <c:v>-0.1525</c:v>
                </c:pt>
              </c:numCache>
            </c:numRef>
          </c:xVal>
          <c:yVal>
            <c:numRef>
              <c:f>'Beispiel 3'!$V$39:$AA$39</c:f>
              <c:numCache>
                <c:formatCode>General</c:formatCode>
                <c:ptCount val="6"/>
                <c:pt idx="0">
                  <c:v>1.2</c:v>
                </c:pt>
                <c:pt idx="1">
                  <c:v>1.2</c:v>
                </c:pt>
                <c:pt idx="2">
                  <c:v>1.2</c:v>
                </c:pt>
                <c:pt idx="3">
                  <c:v>1</c:v>
                </c:pt>
                <c:pt idx="4">
                  <c:v>1</c:v>
                </c:pt>
                <c:pt idx="5">
                  <c:v>1</c:v>
                </c:pt>
              </c:numCache>
            </c:numRef>
          </c:yVal>
          <c:smooth val="0"/>
          <c:extLst>
            <c:ext xmlns:c16="http://schemas.microsoft.com/office/drawing/2014/chart" uri="{C3380CC4-5D6E-409C-BE32-E72D297353CC}">
              <c16:uniqueId val="{00000014-E819-46BE-BC52-6EB944717C28}"/>
            </c:ext>
          </c:extLst>
        </c:ser>
        <c:ser>
          <c:idx val="4"/>
          <c:order val="4"/>
          <c:tx>
            <c:strRef>
              <c:f>'Beispiel 3'!$S$40</c:f>
              <c:strCache>
                <c:ptCount val="1"/>
                <c:pt idx="0">
                  <c:v>D2</c:v>
                </c:pt>
              </c:strCache>
            </c:strRef>
          </c:tx>
          <c:spPr>
            <a:ln w="12700" cap="rnd">
              <a:solidFill>
                <a:schemeClr val="tx1"/>
              </a:solidFill>
              <a:round/>
            </a:ln>
            <a:effectLst/>
          </c:spPr>
          <c:marker>
            <c:symbol val="none"/>
          </c:marker>
          <c:dPt>
            <c:idx val="1"/>
            <c:bubble3D val="0"/>
            <c:extLst>
              <c:ext xmlns:c16="http://schemas.microsoft.com/office/drawing/2014/chart" uri="{C3380CC4-5D6E-409C-BE32-E72D297353CC}">
                <c16:uniqueId val="{00000015-E819-46BE-BC52-6EB944717C28}"/>
              </c:ext>
            </c:extLst>
          </c:dPt>
          <c:dLbls>
            <c:dLbl>
              <c:idx val="2"/>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6-E819-46BE-BC52-6EB944717C28}"/>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'Beispiel 3'!$V$40:$AA$40</c:f>
              <c:numCache>
                <c:formatCode>General</c:formatCode>
                <c:ptCount val="6"/>
                <c:pt idx="0">
                  <c:v>-0.1525</c:v>
                </c:pt>
                <c:pt idx="1">
                  <c:v>-0.1525</c:v>
                </c:pt>
                <c:pt idx="2">
                  <c:v>7.0875000000000004</c:v>
                </c:pt>
                <c:pt idx="3">
                  <c:v>7.0875000000000004</c:v>
                </c:pt>
                <c:pt idx="4">
                  <c:v>3.5874999999999999</c:v>
                </c:pt>
                <c:pt idx="5">
                  <c:v>-0.1525</c:v>
                </c:pt>
              </c:numCache>
            </c:numRef>
          </c:xVal>
          <c:yVal>
            <c:numRef>
              <c:f>'Beispiel 3'!$V$41:$AA$41</c:f>
              <c:numCache>
                <c:formatCode>General</c:formatCode>
                <c:ptCount val="6"/>
                <c:pt idx="0">
                  <c:v>4.0449999999999999</c:v>
                </c:pt>
                <c:pt idx="1">
                  <c:v>4.0449999999999999</c:v>
                </c:pt>
                <c:pt idx="2">
                  <c:v>4.0449999999999999</c:v>
                </c:pt>
                <c:pt idx="3">
                  <c:v>3.8449999999999998</c:v>
                </c:pt>
                <c:pt idx="4">
                  <c:v>3.8449999999999998</c:v>
                </c:pt>
                <c:pt idx="5">
                  <c:v>3.8449999999999998</c:v>
                </c:pt>
              </c:numCache>
            </c:numRef>
          </c:yVal>
          <c:smooth val="0"/>
          <c:extLst>
            <c:ext xmlns:c16="http://schemas.microsoft.com/office/drawing/2014/chart" uri="{C3380CC4-5D6E-409C-BE32-E72D297353CC}">
              <c16:uniqueId val="{00000017-E819-46BE-BC52-6EB944717C28}"/>
            </c:ext>
          </c:extLst>
        </c:ser>
        <c:ser>
          <c:idx val="5"/>
          <c:order val="5"/>
          <c:tx>
            <c:strRef>
              <c:f>'Beispiel 3'!$S$42</c:f>
              <c:strCache>
                <c:ptCount val="1"/>
                <c:pt idx="0">
                  <c:v>D3</c:v>
                </c:pt>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8-E819-46BE-BC52-6EB944717C28}"/>
                </c:ext>
              </c:extLst>
            </c:dLbl>
            <c:dLbl>
              <c:idx val="1"/>
              <c:delete val="1"/>
              <c:extLst>
                <c:ext xmlns:c15="http://schemas.microsoft.com/office/drawing/2012/chart" uri="{CE6537A1-D6FC-4f65-9D91-7224C49458BB}"/>
                <c:ext xmlns:c16="http://schemas.microsoft.com/office/drawing/2014/chart" uri="{C3380CC4-5D6E-409C-BE32-E72D297353CC}">
                  <c16:uniqueId val="{00000019-E819-46BE-BC52-6EB944717C28}"/>
                </c:ext>
              </c:extLst>
            </c:dLbl>
            <c:dLbl>
              <c:idx val="3"/>
              <c:delete val="1"/>
              <c:extLst>
                <c:ext xmlns:c15="http://schemas.microsoft.com/office/drawing/2012/chart" uri="{CE6537A1-D6FC-4f65-9D91-7224C49458BB}"/>
                <c:ext xmlns:c16="http://schemas.microsoft.com/office/drawing/2014/chart" uri="{C3380CC4-5D6E-409C-BE32-E72D297353CC}">
                  <c16:uniqueId val="{0000001A-E819-46BE-BC52-6EB944717C28}"/>
                </c:ext>
              </c:extLst>
            </c:dLbl>
            <c:dLbl>
              <c:idx val="4"/>
              <c:delete val="1"/>
              <c:extLst>
                <c:ext xmlns:c15="http://schemas.microsoft.com/office/drawing/2012/chart" uri="{CE6537A1-D6FC-4f65-9D91-7224C49458BB}"/>
                <c:ext xmlns:c16="http://schemas.microsoft.com/office/drawing/2014/chart" uri="{C3380CC4-5D6E-409C-BE32-E72D297353CC}">
                  <c16:uniqueId val="{0000001B-E819-46BE-BC52-6EB944717C28}"/>
                </c:ext>
              </c:extLst>
            </c:dLbl>
            <c:dLbl>
              <c:idx val="5"/>
              <c:delete val="1"/>
              <c:extLst>
                <c:ext xmlns:c15="http://schemas.microsoft.com/office/drawing/2012/chart" uri="{CE6537A1-D6FC-4f65-9D91-7224C49458BB}"/>
                <c:ext xmlns:c16="http://schemas.microsoft.com/office/drawing/2014/chart" uri="{C3380CC4-5D6E-409C-BE32-E72D297353CC}">
                  <c16:uniqueId val="{0000001C-E819-46BE-BC52-6EB944717C28}"/>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3'!$V$42:$AA$42</c:f>
              <c:numCache>
                <c:formatCode>General</c:formatCode>
                <c:ptCount val="6"/>
                <c:pt idx="0">
                  <c:v>-0.1525</c:v>
                </c:pt>
                <c:pt idx="1">
                  <c:v>-0.1525</c:v>
                </c:pt>
                <c:pt idx="2">
                  <c:v>-4.0875000000000004</c:v>
                </c:pt>
                <c:pt idx="3">
                  <c:v>-4.0875000000000004</c:v>
                </c:pt>
                <c:pt idx="4">
                  <c:v>-2.0874999999999999</c:v>
                </c:pt>
                <c:pt idx="5">
                  <c:v>-0.1525</c:v>
                </c:pt>
              </c:numCache>
            </c:numRef>
          </c:xVal>
          <c:yVal>
            <c:numRef>
              <c:f>'Beispiel 3'!$V$43:$AA$43</c:f>
              <c:numCache>
                <c:formatCode>General</c:formatCode>
                <c:ptCount val="6"/>
                <c:pt idx="0">
                  <c:v>1.2</c:v>
                </c:pt>
                <c:pt idx="1">
                  <c:v>1.2</c:v>
                </c:pt>
                <c:pt idx="2">
                  <c:v>1.2</c:v>
                </c:pt>
                <c:pt idx="3">
                  <c:v>1</c:v>
                </c:pt>
                <c:pt idx="4">
                  <c:v>1</c:v>
                </c:pt>
                <c:pt idx="5">
                  <c:v>1</c:v>
                </c:pt>
              </c:numCache>
            </c:numRef>
          </c:yVal>
          <c:smooth val="0"/>
          <c:extLst>
            <c:ext xmlns:c16="http://schemas.microsoft.com/office/drawing/2014/chart" uri="{C3380CC4-5D6E-409C-BE32-E72D297353CC}">
              <c16:uniqueId val="{0000001D-E819-46BE-BC52-6EB944717C28}"/>
            </c:ext>
          </c:extLst>
        </c:ser>
        <c:ser>
          <c:idx val="6"/>
          <c:order val="6"/>
          <c:tx>
            <c:strRef>
              <c:f>'Beispiel 3'!$S$44</c:f>
              <c:strCache>
                <c:ptCount val="1"/>
                <c:pt idx="0">
                  <c:v>D4</c:v>
                </c:pt>
              </c:strCache>
            </c:strRef>
          </c:tx>
          <c:spPr>
            <a:ln w="12700" cap="rnd">
              <a:solidFill>
                <a:schemeClr val="tx1"/>
              </a:solidFill>
              <a:round/>
            </a:ln>
            <a:effectLst/>
          </c:spPr>
          <c:marker>
            <c:symbol val="none"/>
          </c:marker>
          <c:dLbls>
            <c:dLbl>
              <c:idx val="2"/>
              <c:dLblPos val="l"/>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E-E819-46BE-BC52-6EB944717C28}"/>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'Beispiel 3'!$V$44:$AA$44</c:f>
              <c:numCache>
                <c:formatCode>General</c:formatCode>
                <c:ptCount val="6"/>
                <c:pt idx="0">
                  <c:v>-0.1525</c:v>
                </c:pt>
                <c:pt idx="1">
                  <c:v>-0.1525</c:v>
                </c:pt>
                <c:pt idx="2">
                  <c:v>-4.0875000000000004</c:v>
                </c:pt>
                <c:pt idx="3">
                  <c:v>-4.0875000000000004</c:v>
                </c:pt>
                <c:pt idx="4">
                  <c:v>-2.0874999999999999</c:v>
                </c:pt>
                <c:pt idx="5">
                  <c:v>-0.1525</c:v>
                </c:pt>
              </c:numCache>
            </c:numRef>
          </c:xVal>
          <c:yVal>
            <c:numRef>
              <c:f>'Beispiel 3'!$V$45:$AA$45</c:f>
              <c:numCache>
                <c:formatCode>General</c:formatCode>
                <c:ptCount val="6"/>
                <c:pt idx="0">
                  <c:v>4.0449999999999999</c:v>
                </c:pt>
                <c:pt idx="1">
                  <c:v>4.0449999999999999</c:v>
                </c:pt>
                <c:pt idx="2">
                  <c:v>4.0449999999999999</c:v>
                </c:pt>
                <c:pt idx="3">
                  <c:v>3.8449999999999998</c:v>
                </c:pt>
                <c:pt idx="4">
                  <c:v>3.8449999999999998</c:v>
                </c:pt>
                <c:pt idx="5">
                  <c:v>3.8449999999999998</c:v>
                </c:pt>
              </c:numCache>
            </c:numRef>
          </c:yVal>
          <c:smooth val="0"/>
          <c:extLst>
            <c:ext xmlns:c16="http://schemas.microsoft.com/office/drawing/2014/chart" uri="{C3380CC4-5D6E-409C-BE32-E72D297353CC}">
              <c16:uniqueId val="{0000001F-E819-46BE-BC52-6EB944717C28}"/>
            </c:ext>
          </c:extLst>
        </c:ser>
        <c:ser>
          <c:idx val="11"/>
          <c:order val="7"/>
          <c:tx>
            <c:strRef>
              <c:f>'Beispiel 3'!$T$46</c:f>
              <c:strCache>
                <c:ptCount val="1"/>
                <c:pt idx="0">
                  <c:v>Outline</c:v>
                </c:pt>
              </c:strCache>
            </c:strRef>
          </c:tx>
          <c:spPr>
            <a:ln w="19050" cap="rnd">
              <a:noFill/>
              <a:round/>
            </a:ln>
            <a:effectLst/>
          </c:spPr>
          <c:marker>
            <c:symbol val="none"/>
          </c:marker>
          <c:dLbls>
            <c:delete val="1"/>
          </c:dLbls>
          <c:xVal>
            <c:numRef>
              <c:f>'Beispiel 3'!$V$46:$W$46</c:f>
              <c:numCache>
                <c:formatCode>General</c:formatCode>
                <c:ptCount val="2"/>
                <c:pt idx="0">
                  <c:v>7.7962500000000015</c:v>
                </c:pt>
                <c:pt idx="1">
                  <c:v>-7.7962500000000015</c:v>
                </c:pt>
              </c:numCache>
            </c:numRef>
          </c:xVal>
          <c:yVal>
            <c:numRef>
              <c:f>'Beispiel 3'!$V$47:$W$47</c:f>
              <c:numCache>
                <c:formatCode>General</c:formatCode>
                <c:ptCount val="2"/>
                <c:pt idx="0">
                  <c:v>7.7962500000000015</c:v>
                </c:pt>
                <c:pt idx="1">
                  <c:v>7.7962500000000015</c:v>
                </c:pt>
              </c:numCache>
            </c:numRef>
          </c:yVal>
          <c:smooth val="0"/>
          <c:extLst>
            <c:ext xmlns:c16="http://schemas.microsoft.com/office/drawing/2014/chart" uri="{C3380CC4-5D6E-409C-BE32-E72D297353CC}">
              <c16:uniqueId val="{00000020-E819-46BE-BC52-6EB944717C28}"/>
            </c:ext>
          </c:extLst>
        </c:ser>
        <c:ser>
          <c:idx val="12"/>
          <c:order val="8"/>
          <c:tx>
            <c:strRef>
              <c:f>'Beispiel 3'!$X$51</c:f>
              <c:strCache>
                <c:ptCount val="1"/>
              </c:strCache>
            </c:strRef>
          </c:tx>
          <c:spPr>
            <a:ln w="19050" cap="rnd">
              <a:solidFill>
                <a:schemeClr val="accent1">
                  <a:lumMod val="80000"/>
                  <a:lumOff val="20000"/>
                </a:schemeClr>
              </a:solidFill>
              <a:round/>
            </a:ln>
            <a:effectLst/>
          </c:spPr>
          <c:marker>
            <c:symbol val="none"/>
          </c:marker>
          <c:dPt>
            <c:idx val="1"/>
            <c:bubble3D val="0"/>
            <c:spPr>
              <a:ln w="19050" cap="rnd">
                <a:solidFill>
                  <a:srgbClr val="C00000"/>
                </a:solidFill>
                <a:round/>
                <a:tailEnd type="triangle"/>
              </a:ln>
              <a:effectLst/>
            </c:spPr>
            <c:extLst>
              <c:ext xmlns:c16="http://schemas.microsoft.com/office/drawing/2014/chart" uri="{C3380CC4-5D6E-409C-BE32-E72D297353CC}">
                <c16:uniqueId val="{00000022-E819-46BE-BC52-6EB944717C28}"/>
              </c:ext>
            </c:extLst>
          </c:dPt>
          <c:dLbls>
            <c:dLbl>
              <c:idx val="0"/>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3-E819-46BE-BC52-6EB944717C28}"/>
                </c:ext>
              </c:extLst>
            </c:dLbl>
            <c:dLbl>
              <c:idx val="1"/>
              <c:delete val="1"/>
              <c:extLst>
                <c:ext xmlns:c15="http://schemas.microsoft.com/office/drawing/2012/chart" uri="{CE6537A1-D6FC-4f65-9D91-7224C49458BB}"/>
                <c:ext xmlns:c16="http://schemas.microsoft.com/office/drawing/2014/chart" uri="{C3380CC4-5D6E-409C-BE32-E72D297353CC}">
                  <c16:uniqueId val="{00000022-E819-46BE-BC52-6EB944717C2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3'!$V$51:$W$51</c:f>
              <c:numCache>
                <c:formatCode>General</c:formatCode>
                <c:ptCount val="2"/>
                <c:pt idx="0">
                  <c:v>0</c:v>
                </c:pt>
                <c:pt idx="1">
                  <c:v>0</c:v>
                </c:pt>
              </c:numCache>
            </c:numRef>
          </c:xVal>
          <c:yVal>
            <c:numRef>
              <c:f>'Beispiel 3'!$V$52:$W$52</c:f>
              <c:numCache>
                <c:formatCode>General</c:formatCode>
                <c:ptCount val="2"/>
                <c:pt idx="0">
                  <c:v>-5</c:v>
                </c:pt>
                <c:pt idx="1">
                  <c:v>-5</c:v>
                </c:pt>
              </c:numCache>
            </c:numRef>
          </c:yVal>
          <c:smooth val="0"/>
          <c:extLst>
            <c:ext xmlns:c16="http://schemas.microsoft.com/office/drawing/2014/chart" uri="{C3380CC4-5D6E-409C-BE32-E72D297353CC}">
              <c16:uniqueId val="{00000024-E819-46BE-BC52-6EB944717C28}"/>
            </c:ext>
          </c:extLst>
        </c:ser>
        <c:ser>
          <c:idx val="13"/>
          <c:order val="9"/>
          <c:tx>
            <c:strRef>
              <c:f>'Beispiel 3'!$X$53</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5-E819-46BE-BC52-6EB944717C28}"/>
                </c:ext>
              </c:extLst>
            </c:dLbl>
            <c:spPr>
              <a:noFill/>
              <a:ln>
                <a:noFill/>
              </a:ln>
              <a:effectLst/>
            </c:spPr>
            <c:txPr>
              <a:bodyPr rot="0" spcFirstLastPara="1" vertOverflow="ellipsis" vert="horz" wrap="square" lIns="38100" tIns="19050" rIns="38100" bIns="19050" anchor="ctr" anchorCtr="0">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3'!$V$53:$W$53</c:f>
              <c:numCache>
                <c:formatCode>General</c:formatCode>
                <c:ptCount val="2"/>
                <c:pt idx="0">
                  <c:v>0</c:v>
                </c:pt>
                <c:pt idx="1">
                  <c:v>0</c:v>
                </c:pt>
              </c:numCache>
            </c:numRef>
          </c:xVal>
          <c:yVal>
            <c:numRef>
              <c:f>'Beispiel 3'!$V$54:$W$54</c:f>
              <c:numCache>
                <c:formatCode>General</c:formatCode>
                <c:ptCount val="2"/>
                <c:pt idx="0">
                  <c:v>-5</c:v>
                </c:pt>
                <c:pt idx="1">
                  <c:v>-5</c:v>
                </c:pt>
              </c:numCache>
            </c:numRef>
          </c:yVal>
          <c:smooth val="0"/>
          <c:extLst>
            <c:ext xmlns:c16="http://schemas.microsoft.com/office/drawing/2014/chart" uri="{C3380CC4-5D6E-409C-BE32-E72D297353CC}">
              <c16:uniqueId val="{00000026-E819-46BE-BC52-6EB944717C28}"/>
            </c:ext>
          </c:extLst>
        </c:ser>
        <c:ser>
          <c:idx val="14"/>
          <c:order val="10"/>
          <c:tx>
            <c:strRef>
              <c:f>'Beispiel 3'!$X$55</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7-E819-46BE-BC52-6EB944717C2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3'!$V$55:$W$55</c:f>
              <c:numCache>
                <c:formatCode>General</c:formatCode>
                <c:ptCount val="2"/>
                <c:pt idx="0">
                  <c:v>0</c:v>
                </c:pt>
                <c:pt idx="1">
                  <c:v>0</c:v>
                </c:pt>
              </c:numCache>
            </c:numRef>
          </c:xVal>
          <c:yVal>
            <c:numRef>
              <c:f>'Beispiel 3'!$V$56:$W$56</c:f>
              <c:numCache>
                <c:formatCode>General</c:formatCode>
                <c:ptCount val="2"/>
                <c:pt idx="0">
                  <c:v>-5</c:v>
                </c:pt>
                <c:pt idx="1">
                  <c:v>-5</c:v>
                </c:pt>
              </c:numCache>
            </c:numRef>
          </c:yVal>
          <c:smooth val="0"/>
          <c:extLst>
            <c:ext xmlns:c16="http://schemas.microsoft.com/office/drawing/2014/chart" uri="{C3380CC4-5D6E-409C-BE32-E72D297353CC}">
              <c16:uniqueId val="{00000028-E819-46BE-BC52-6EB944717C28}"/>
            </c:ext>
          </c:extLst>
        </c:ser>
        <c:ser>
          <c:idx val="15"/>
          <c:order val="11"/>
          <c:tx>
            <c:strRef>
              <c:f>'Beispiel 3'!$X$57</c:f>
              <c:strCache>
                <c:ptCount val="1"/>
              </c:strCache>
            </c:strRef>
          </c:tx>
          <c:spPr>
            <a:ln w="19050" cap="rnd">
              <a:solidFill>
                <a:srgbClr val="C00000"/>
              </a:solidFill>
              <a:round/>
              <a:headEnd type="none"/>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9-E819-46BE-BC52-6EB944717C2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3'!$V$57:$W$57</c:f>
              <c:numCache>
                <c:formatCode>General</c:formatCode>
                <c:ptCount val="2"/>
                <c:pt idx="0">
                  <c:v>0</c:v>
                </c:pt>
                <c:pt idx="1">
                  <c:v>0</c:v>
                </c:pt>
              </c:numCache>
            </c:numRef>
          </c:xVal>
          <c:yVal>
            <c:numRef>
              <c:f>'Beispiel 3'!$V$58:$W$58</c:f>
              <c:numCache>
                <c:formatCode>General</c:formatCode>
                <c:ptCount val="2"/>
                <c:pt idx="0">
                  <c:v>-5</c:v>
                </c:pt>
                <c:pt idx="1">
                  <c:v>-5</c:v>
                </c:pt>
              </c:numCache>
            </c:numRef>
          </c:yVal>
          <c:smooth val="0"/>
          <c:extLst>
            <c:ext xmlns:c16="http://schemas.microsoft.com/office/drawing/2014/chart" uri="{C3380CC4-5D6E-409C-BE32-E72D297353CC}">
              <c16:uniqueId val="{0000002A-E819-46BE-BC52-6EB944717C28}"/>
            </c:ext>
          </c:extLst>
        </c:ser>
        <c:ser>
          <c:idx val="7"/>
          <c:order val="12"/>
          <c:tx>
            <c:v>Bearing Slab 01 Fixed</c:v>
          </c:tx>
          <c:spPr>
            <a:ln w="19050" cap="rnd">
              <a:solidFill>
                <a:schemeClr val="accent2">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3'!$Z$51</c:f>
              <c:numCache>
                <c:formatCode>General</c:formatCode>
                <c:ptCount val="1"/>
                <c:pt idx="0">
                  <c:v>7.0875000000000004</c:v>
                </c:pt>
              </c:numCache>
            </c:numRef>
          </c:xVal>
          <c:yVal>
            <c:numRef>
              <c:f>'Beispiel 3'!$Z$52</c:f>
              <c:numCache>
                <c:formatCode>General</c:formatCode>
                <c:ptCount val="1"/>
                <c:pt idx="0">
                  <c:v>1</c:v>
                </c:pt>
              </c:numCache>
            </c:numRef>
          </c:yVal>
          <c:smooth val="0"/>
          <c:extLst>
            <c:ext xmlns:c16="http://schemas.microsoft.com/office/drawing/2014/chart" uri="{C3380CC4-5D6E-409C-BE32-E72D297353CC}">
              <c16:uniqueId val="{0000002B-E819-46BE-BC52-6EB944717C28}"/>
            </c:ext>
          </c:extLst>
        </c:ser>
        <c:ser>
          <c:idx val="8"/>
          <c:order val="13"/>
          <c:tx>
            <c:v>Bearing Slab 01 Hinged</c:v>
          </c:tx>
          <c:spPr>
            <a:ln w="19050" cap="rnd">
              <a:solidFill>
                <a:schemeClr val="accent3">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3'!$AA$51</c:f>
              <c:numCache>
                <c:formatCode>General</c:formatCode>
                <c:ptCount val="1"/>
                <c:pt idx="0">
                  <c:v>7.0875000000000004</c:v>
                </c:pt>
              </c:numCache>
            </c:numRef>
          </c:xVal>
          <c:yVal>
            <c:numRef>
              <c:f>'Beispiel 3'!$AA$52</c:f>
              <c:numCache>
                <c:formatCode>General</c:formatCode>
                <c:ptCount val="1"/>
                <c:pt idx="0">
                  <c:v>-5</c:v>
                </c:pt>
              </c:numCache>
            </c:numRef>
          </c:yVal>
          <c:smooth val="0"/>
          <c:extLst>
            <c:ext xmlns:c16="http://schemas.microsoft.com/office/drawing/2014/chart" uri="{C3380CC4-5D6E-409C-BE32-E72D297353CC}">
              <c16:uniqueId val="{0000002C-E819-46BE-BC52-6EB944717C28}"/>
            </c:ext>
          </c:extLst>
        </c:ser>
        <c:ser>
          <c:idx val="9"/>
          <c:order val="14"/>
          <c:tx>
            <c:v>Bearing Slab 02 Fixed</c:v>
          </c:tx>
          <c:spPr>
            <a:ln w="19050" cap="rnd">
              <a:solidFill>
                <a:schemeClr val="accent4">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3'!$Z$53</c:f>
              <c:numCache>
                <c:formatCode>General</c:formatCode>
                <c:ptCount val="1"/>
                <c:pt idx="0">
                  <c:v>7.0875000000000004</c:v>
                </c:pt>
              </c:numCache>
            </c:numRef>
          </c:xVal>
          <c:yVal>
            <c:numRef>
              <c:f>'Beispiel 3'!$Z$54</c:f>
              <c:numCache>
                <c:formatCode>General</c:formatCode>
                <c:ptCount val="1"/>
                <c:pt idx="0">
                  <c:v>3.8449999999999998</c:v>
                </c:pt>
              </c:numCache>
            </c:numRef>
          </c:yVal>
          <c:smooth val="0"/>
          <c:extLst>
            <c:ext xmlns:c16="http://schemas.microsoft.com/office/drawing/2014/chart" uri="{C3380CC4-5D6E-409C-BE32-E72D297353CC}">
              <c16:uniqueId val="{0000002D-E819-46BE-BC52-6EB944717C28}"/>
            </c:ext>
          </c:extLst>
        </c:ser>
        <c:ser>
          <c:idx val="10"/>
          <c:order val="15"/>
          <c:tx>
            <c:v>Bearing Slab 02 Hinged</c:v>
          </c:tx>
          <c:spPr>
            <a:ln w="19050" cap="rnd">
              <a:solidFill>
                <a:schemeClr val="accent5">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3'!$AA$53</c:f>
              <c:numCache>
                <c:formatCode>General</c:formatCode>
                <c:ptCount val="1"/>
                <c:pt idx="0">
                  <c:v>7.0875000000000004</c:v>
                </c:pt>
              </c:numCache>
            </c:numRef>
          </c:xVal>
          <c:yVal>
            <c:numRef>
              <c:f>'Beispiel 3'!$AA$54</c:f>
              <c:numCache>
                <c:formatCode>General</c:formatCode>
                <c:ptCount val="1"/>
                <c:pt idx="0">
                  <c:v>-5</c:v>
                </c:pt>
              </c:numCache>
            </c:numRef>
          </c:yVal>
          <c:smooth val="0"/>
          <c:extLst>
            <c:ext xmlns:c16="http://schemas.microsoft.com/office/drawing/2014/chart" uri="{C3380CC4-5D6E-409C-BE32-E72D297353CC}">
              <c16:uniqueId val="{0000002E-E819-46BE-BC52-6EB944717C28}"/>
            </c:ext>
          </c:extLst>
        </c:ser>
        <c:ser>
          <c:idx val="16"/>
          <c:order val="16"/>
          <c:tx>
            <c:v>Bearing Slab 03 Fixed</c:v>
          </c:tx>
          <c:spPr>
            <a:ln w="19050" cap="rnd">
              <a:solidFill>
                <a:schemeClr val="accent5">
                  <a:lumMod val="80000"/>
                  <a:lumOff val="2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3'!$Z$55</c:f>
              <c:numCache>
                <c:formatCode>General</c:formatCode>
                <c:ptCount val="1"/>
                <c:pt idx="0">
                  <c:v>-4.0875000000000004</c:v>
                </c:pt>
              </c:numCache>
            </c:numRef>
          </c:xVal>
          <c:yVal>
            <c:numRef>
              <c:f>'Beispiel 3'!$Z$56</c:f>
              <c:numCache>
                <c:formatCode>General</c:formatCode>
                <c:ptCount val="1"/>
                <c:pt idx="0">
                  <c:v>1</c:v>
                </c:pt>
              </c:numCache>
            </c:numRef>
          </c:yVal>
          <c:smooth val="0"/>
          <c:extLst>
            <c:ext xmlns:c16="http://schemas.microsoft.com/office/drawing/2014/chart" uri="{C3380CC4-5D6E-409C-BE32-E72D297353CC}">
              <c16:uniqueId val="{0000002F-E819-46BE-BC52-6EB944717C28}"/>
            </c:ext>
          </c:extLst>
        </c:ser>
        <c:ser>
          <c:idx val="17"/>
          <c:order val="17"/>
          <c:tx>
            <c:v>Bearing Slab 03 Hinged</c:v>
          </c:tx>
          <c:spPr>
            <a:ln w="19050" cap="rnd">
              <a:solidFill>
                <a:schemeClr val="accent6">
                  <a:lumMod val="80000"/>
                  <a:lumOff val="2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3'!$AA$55</c:f>
              <c:numCache>
                <c:formatCode>General</c:formatCode>
                <c:ptCount val="1"/>
                <c:pt idx="0">
                  <c:v>-4.0875000000000004</c:v>
                </c:pt>
              </c:numCache>
            </c:numRef>
          </c:xVal>
          <c:yVal>
            <c:numRef>
              <c:f>'Beispiel 3'!$AA$56</c:f>
              <c:numCache>
                <c:formatCode>General</c:formatCode>
                <c:ptCount val="1"/>
                <c:pt idx="0">
                  <c:v>-5</c:v>
                </c:pt>
              </c:numCache>
            </c:numRef>
          </c:yVal>
          <c:smooth val="0"/>
          <c:extLst>
            <c:ext xmlns:c16="http://schemas.microsoft.com/office/drawing/2014/chart" uri="{C3380CC4-5D6E-409C-BE32-E72D297353CC}">
              <c16:uniqueId val="{00000030-E819-46BE-BC52-6EB944717C28}"/>
            </c:ext>
          </c:extLst>
        </c:ser>
        <c:ser>
          <c:idx val="18"/>
          <c:order val="18"/>
          <c:tx>
            <c:v>Bearing Slab 04 Fixed</c:v>
          </c:tx>
          <c:spPr>
            <a:ln w="19050" cap="rnd">
              <a:solidFill>
                <a:schemeClr val="accent1">
                  <a:lumMod val="8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3'!$Z$57</c:f>
              <c:numCache>
                <c:formatCode>General</c:formatCode>
                <c:ptCount val="1"/>
                <c:pt idx="0">
                  <c:v>-4.0875000000000004</c:v>
                </c:pt>
              </c:numCache>
            </c:numRef>
          </c:xVal>
          <c:yVal>
            <c:numRef>
              <c:f>'Beispiel 3'!$Z$58</c:f>
              <c:numCache>
                <c:formatCode>General</c:formatCode>
                <c:ptCount val="1"/>
                <c:pt idx="0">
                  <c:v>3.8449999999999998</c:v>
                </c:pt>
              </c:numCache>
            </c:numRef>
          </c:yVal>
          <c:smooth val="0"/>
          <c:extLst>
            <c:ext xmlns:c16="http://schemas.microsoft.com/office/drawing/2014/chart" uri="{C3380CC4-5D6E-409C-BE32-E72D297353CC}">
              <c16:uniqueId val="{00000031-E819-46BE-BC52-6EB944717C28}"/>
            </c:ext>
          </c:extLst>
        </c:ser>
        <c:ser>
          <c:idx val="19"/>
          <c:order val="19"/>
          <c:tx>
            <c:v>Bearing Slab 04 Hinged</c:v>
          </c:tx>
          <c:spPr>
            <a:ln w="19050" cap="rnd">
              <a:solidFill>
                <a:schemeClr val="accent2">
                  <a:lumMod val="8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3'!$AA$57</c:f>
              <c:numCache>
                <c:formatCode>General</c:formatCode>
                <c:ptCount val="1"/>
                <c:pt idx="0">
                  <c:v>-4.0875000000000004</c:v>
                </c:pt>
              </c:numCache>
            </c:numRef>
          </c:xVal>
          <c:yVal>
            <c:numRef>
              <c:f>'Beispiel 3'!$AA$58</c:f>
              <c:numCache>
                <c:formatCode>General</c:formatCode>
                <c:ptCount val="1"/>
                <c:pt idx="0">
                  <c:v>-5</c:v>
                </c:pt>
              </c:numCache>
            </c:numRef>
          </c:yVal>
          <c:smooth val="0"/>
          <c:extLst>
            <c:ext xmlns:c16="http://schemas.microsoft.com/office/drawing/2014/chart" uri="{C3380CC4-5D6E-409C-BE32-E72D297353CC}">
              <c16:uniqueId val="{00000032-E819-46BE-BC52-6EB944717C28}"/>
            </c:ext>
          </c:extLst>
        </c:ser>
        <c:dLbls>
          <c:showLegendKey val="0"/>
          <c:showVal val="1"/>
          <c:showCatName val="0"/>
          <c:showSerName val="0"/>
          <c:showPercent val="0"/>
          <c:showBubbleSize val="0"/>
        </c:dLbls>
        <c:axId val="471501400"/>
        <c:axId val="471499832"/>
      </c:scatterChart>
      <c:valAx>
        <c:axId val="471501400"/>
        <c:scaling>
          <c:orientation val="minMax"/>
        </c:scaling>
        <c:delete val="0"/>
        <c:axPos val="b"/>
        <c:majorGridlines>
          <c:spPr>
            <a:ln w="9525" cap="flat" cmpd="sng" algn="ctr">
              <a:noFill/>
              <a:round/>
            </a:ln>
            <a:effectLst/>
          </c:spPr>
        </c:majorGridlines>
        <c:numFmt formatCode="General" sourceLinked="1"/>
        <c:majorTickMark val="none"/>
        <c:minorTickMark val="none"/>
        <c:tickLblPos val="none"/>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499832"/>
        <c:crosses val="autoZero"/>
        <c:crossBetween val="midCat"/>
        <c:majorUnit val="2"/>
      </c:valAx>
      <c:valAx>
        <c:axId val="471499832"/>
        <c:scaling>
          <c:orientation val="minMax"/>
          <c:min val="0"/>
        </c:scaling>
        <c:delete val="1"/>
        <c:axPos val="l"/>
        <c:majorGridlines>
          <c:spPr>
            <a:ln w="9525" cap="flat" cmpd="sng" algn="ctr">
              <a:noFill/>
              <a:round/>
            </a:ln>
            <a:effectLst/>
          </c:spPr>
        </c:majorGridlines>
        <c:numFmt formatCode="General" sourceLinked="1"/>
        <c:majorTickMark val="out"/>
        <c:minorTickMark val="none"/>
        <c:tickLblPos val="nextTo"/>
        <c:crossAx val="471501400"/>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374567901234571"/>
        </c:manualLayout>
      </c:layout>
      <c:scatterChart>
        <c:scatterStyle val="lineMarker"/>
        <c:varyColors val="0"/>
        <c:ser>
          <c:idx val="0"/>
          <c:order val="0"/>
          <c:tx>
            <c:strRef>
              <c:f>'Beispiel 3'!$T$31</c:f>
              <c:strCache>
                <c:ptCount val="1"/>
              </c:strCache>
            </c:strRef>
          </c:tx>
          <c:spPr>
            <a:ln w="12700" cap="rnd">
              <a:solidFill>
                <a:schemeClr val="tx1"/>
              </a:solidFill>
              <a:round/>
            </a:ln>
            <a:effectLst/>
          </c:spPr>
          <c:marker>
            <c:symbol val="none"/>
          </c:marker>
          <c:xVal>
            <c:numRef>
              <c:f>'Beispiel 3'!$AE$31:$AJ$31</c:f>
              <c:numCache>
                <c:formatCode>General</c:formatCode>
                <c:ptCount val="6"/>
                <c:pt idx="0">
                  <c:v>1.6</c:v>
                </c:pt>
                <c:pt idx="1">
                  <c:v>1.6</c:v>
                </c:pt>
                <c:pt idx="2">
                  <c:v>-1.6</c:v>
                </c:pt>
                <c:pt idx="3">
                  <c:v>-1.6</c:v>
                </c:pt>
                <c:pt idx="4">
                  <c:v>1.6</c:v>
                </c:pt>
                <c:pt idx="5">
                  <c:v>1.6</c:v>
                </c:pt>
              </c:numCache>
            </c:numRef>
          </c:xVal>
          <c:yVal>
            <c:numRef>
              <c:f>'Beispiel 3'!$V$32:$AA$32</c:f>
              <c:numCache>
                <c:formatCode>General</c:formatCode>
                <c:ptCount val="6"/>
                <c:pt idx="0">
                  <c:v>0</c:v>
                </c:pt>
                <c:pt idx="1">
                  <c:v>1</c:v>
                </c:pt>
                <c:pt idx="2">
                  <c:v>1</c:v>
                </c:pt>
                <c:pt idx="3">
                  <c:v>0</c:v>
                </c:pt>
                <c:pt idx="4">
                  <c:v>0</c:v>
                </c:pt>
                <c:pt idx="5">
                  <c:v>0.5</c:v>
                </c:pt>
              </c:numCache>
            </c:numRef>
          </c:yVal>
          <c:smooth val="0"/>
          <c:extLst>
            <c:ext xmlns:c16="http://schemas.microsoft.com/office/drawing/2014/chart" uri="{C3380CC4-5D6E-409C-BE32-E72D297353CC}">
              <c16:uniqueId val="{00000000-9EC8-437A-B981-096003C95828}"/>
            </c:ext>
          </c:extLst>
        </c:ser>
        <c:ser>
          <c:idx val="1"/>
          <c:order val="1"/>
          <c:tx>
            <c:strRef>
              <c:f>'Beispiel 3'!$T$33</c:f>
              <c:strCache>
                <c:ptCount val="1"/>
                <c:pt idx="0">
                  <c:v>Wand 2</c:v>
                </c:pt>
              </c:strCache>
            </c:strRef>
          </c:tx>
          <c:spPr>
            <a:ln w="12700" cap="rnd">
              <a:solidFill>
                <a:srgbClr val="B30000"/>
              </a:solidFill>
              <a:round/>
            </a:ln>
            <a:effectLst/>
          </c:spPr>
          <c:marker>
            <c:symbol val="none"/>
          </c:marker>
          <c:xVal>
            <c:numRef>
              <c:f>'Beispiel 3'!$AE$33:$AJ$33</c:f>
              <c:numCache>
                <c:formatCode>General</c:formatCode>
                <c:ptCount val="6"/>
                <c:pt idx="0">
                  <c:v>1.5</c:v>
                </c:pt>
                <c:pt idx="1">
                  <c:v>1.5</c:v>
                </c:pt>
                <c:pt idx="2">
                  <c:v>-1.5</c:v>
                </c:pt>
                <c:pt idx="3">
                  <c:v>-1.5</c:v>
                </c:pt>
                <c:pt idx="4">
                  <c:v>1.5</c:v>
                </c:pt>
                <c:pt idx="5">
                  <c:v>1.5</c:v>
                </c:pt>
              </c:numCache>
            </c:numRef>
          </c:xVal>
          <c:yVal>
            <c:numRef>
              <c:f>'Beispiel 3'!$V$34:$AA$34</c:f>
              <c:numCache>
                <c:formatCode>General</c:formatCode>
                <c:ptCount val="6"/>
                <c:pt idx="0">
                  <c:v>1.2</c:v>
                </c:pt>
                <c:pt idx="1">
                  <c:v>3.8449999999999998</c:v>
                </c:pt>
                <c:pt idx="2">
                  <c:v>3.8449999999999998</c:v>
                </c:pt>
                <c:pt idx="3">
                  <c:v>1.2</c:v>
                </c:pt>
                <c:pt idx="4">
                  <c:v>1.2</c:v>
                </c:pt>
                <c:pt idx="5">
                  <c:v>2.5225</c:v>
                </c:pt>
              </c:numCache>
            </c:numRef>
          </c:yVal>
          <c:smooth val="0"/>
          <c:extLst>
            <c:ext xmlns:c16="http://schemas.microsoft.com/office/drawing/2014/chart" uri="{C3380CC4-5D6E-409C-BE32-E72D297353CC}">
              <c16:uniqueId val="{00000001-9EC8-437A-B981-096003C95828}"/>
            </c:ext>
          </c:extLst>
        </c:ser>
        <c:ser>
          <c:idx val="2"/>
          <c:order val="2"/>
          <c:tx>
            <c:strRef>
              <c:f>'Beispiel 3'!$T$35</c:f>
              <c:strCache>
                <c:ptCount val="1"/>
                <c:pt idx="0">
                  <c:v>Wand 3</c:v>
                </c:pt>
              </c:strCache>
            </c:strRef>
          </c:tx>
          <c:spPr>
            <a:ln w="12700" cap="rnd">
              <a:solidFill>
                <a:schemeClr val="tx1"/>
              </a:solidFill>
              <a:round/>
            </a:ln>
            <a:effectLst/>
          </c:spPr>
          <c:marker>
            <c:symbol val="none"/>
          </c:marker>
          <c:dPt>
            <c:idx val="2"/>
            <c:marker>
              <c:symbol val="none"/>
            </c:marker>
            <c:bubble3D val="0"/>
            <c:extLst>
              <c:ext xmlns:c16="http://schemas.microsoft.com/office/drawing/2014/chart" uri="{C3380CC4-5D6E-409C-BE32-E72D297353CC}">
                <c16:uniqueId val="{00000002-9EC8-437A-B981-096003C95828}"/>
              </c:ext>
            </c:extLst>
          </c:dPt>
          <c:xVal>
            <c:numRef>
              <c:f>'Beispiel 3'!$AE$35:$AJ$35</c:f>
              <c:numCache>
                <c:formatCode>General</c:formatCode>
                <c:ptCount val="6"/>
                <c:pt idx="0">
                  <c:v>1.5</c:v>
                </c:pt>
                <c:pt idx="1">
                  <c:v>1.5</c:v>
                </c:pt>
                <c:pt idx="2">
                  <c:v>-1.5</c:v>
                </c:pt>
                <c:pt idx="3">
                  <c:v>-1.5</c:v>
                </c:pt>
                <c:pt idx="4">
                  <c:v>1.5</c:v>
                </c:pt>
                <c:pt idx="5">
                  <c:v>1.5</c:v>
                </c:pt>
              </c:numCache>
            </c:numRef>
          </c:xVal>
          <c:yVal>
            <c:numRef>
              <c:f>'Beispiel 3'!$V$36:$AA$36</c:f>
              <c:numCache>
                <c:formatCode>General</c:formatCode>
                <c:ptCount val="6"/>
                <c:pt idx="0">
                  <c:v>4.0449999999999999</c:v>
                </c:pt>
                <c:pt idx="1">
                  <c:v>7.0449999999999999</c:v>
                </c:pt>
                <c:pt idx="2">
                  <c:v>7.0449999999999999</c:v>
                </c:pt>
                <c:pt idx="3">
                  <c:v>4.0449999999999999</c:v>
                </c:pt>
                <c:pt idx="4">
                  <c:v>4.0449999999999999</c:v>
                </c:pt>
                <c:pt idx="5">
                  <c:v>5.5449999999999999</c:v>
                </c:pt>
              </c:numCache>
            </c:numRef>
          </c:yVal>
          <c:smooth val="0"/>
          <c:extLst>
            <c:ext xmlns:c16="http://schemas.microsoft.com/office/drawing/2014/chart" uri="{C3380CC4-5D6E-409C-BE32-E72D297353CC}">
              <c16:uniqueId val="{00000003-9EC8-437A-B981-096003C95828}"/>
            </c:ext>
          </c:extLst>
        </c:ser>
        <c:ser>
          <c:idx val="3"/>
          <c:order val="3"/>
          <c:tx>
            <c:strRef>
              <c:f>'Beispiel 3'!$T$38</c:f>
              <c:strCache>
                <c:ptCount val="1"/>
                <c:pt idx="0">
                  <c:v>Decke 1</c:v>
                </c:pt>
              </c:strCache>
            </c:strRef>
          </c:tx>
          <c:spPr>
            <a:ln w="12700" cap="rnd">
              <a:solidFill>
                <a:schemeClr val="tx1"/>
              </a:solidFill>
              <a:round/>
            </a:ln>
            <a:effectLst/>
          </c:spPr>
          <c:marker>
            <c:symbol val="none"/>
          </c:marker>
          <c:xVal>
            <c:numRef>
              <c:f>'Beispiel 3'!$AE$38:$AJ$38</c:f>
              <c:numCache>
                <c:formatCode>General</c:formatCode>
                <c:ptCount val="6"/>
                <c:pt idx="0">
                  <c:v>-1.875</c:v>
                </c:pt>
                <c:pt idx="1">
                  <c:v>1.875</c:v>
                </c:pt>
                <c:pt idx="2">
                  <c:v>1.875</c:v>
                </c:pt>
                <c:pt idx="3">
                  <c:v>-1.875</c:v>
                </c:pt>
                <c:pt idx="4">
                  <c:v>-1.875</c:v>
                </c:pt>
                <c:pt idx="5">
                  <c:v>0.8</c:v>
                </c:pt>
              </c:numCache>
            </c:numRef>
          </c:xVal>
          <c:yVal>
            <c:numRef>
              <c:f>'Beispiel 3'!$AE$39:$AJ$39</c:f>
              <c:numCache>
                <c:formatCode>General</c:formatCode>
                <c:ptCount val="6"/>
                <c:pt idx="0">
                  <c:v>1</c:v>
                </c:pt>
                <c:pt idx="1">
                  <c:v>1</c:v>
                </c:pt>
                <c:pt idx="2">
                  <c:v>1.2</c:v>
                </c:pt>
                <c:pt idx="3">
                  <c:v>1.2</c:v>
                </c:pt>
                <c:pt idx="4">
                  <c:v>1</c:v>
                </c:pt>
                <c:pt idx="5">
                  <c:v>1</c:v>
                </c:pt>
              </c:numCache>
            </c:numRef>
          </c:yVal>
          <c:smooth val="0"/>
          <c:extLst>
            <c:ext xmlns:c16="http://schemas.microsoft.com/office/drawing/2014/chart" uri="{C3380CC4-5D6E-409C-BE32-E72D297353CC}">
              <c16:uniqueId val="{00000004-9EC8-437A-B981-096003C95828}"/>
            </c:ext>
          </c:extLst>
        </c:ser>
        <c:ser>
          <c:idx val="4"/>
          <c:order val="4"/>
          <c:tx>
            <c:strRef>
              <c:f>'Beispiel 3'!$T$40</c:f>
              <c:strCache>
                <c:ptCount val="1"/>
                <c:pt idx="0">
                  <c:v>Decke 2</c:v>
                </c:pt>
              </c:strCache>
            </c:strRef>
          </c:tx>
          <c:spPr>
            <a:ln w="12700" cap="rnd">
              <a:solidFill>
                <a:schemeClr val="tx1"/>
              </a:solidFill>
              <a:round/>
            </a:ln>
            <a:effectLst/>
          </c:spPr>
          <c:marker>
            <c:symbol val="none"/>
          </c:marker>
          <c:xVal>
            <c:numRef>
              <c:f>'Beispiel 3'!$AE$40:$AJ$40</c:f>
              <c:numCache>
                <c:formatCode>General</c:formatCode>
                <c:ptCount val="6"/>
                <c:pt idx="0">
                  <c:v>-1.875</c:v>
                </c:pt>
                <c:pt idx="1">
                  <c:v>1.875</c:v>
                </c:pt>
                <c:pt idx="2">
                  <c:v>1.875</c:v>
                </c:pt>
                <c:pt idx="3">
                  <c:v>-1.875</c:v>
                </c:pt>
                <c:pt idx="4">
                  <c:v>-1.875</c:v>
                </c:pt>
                <c:pt idx="5">
                  <c:v>0.75</c:v>
                </c:pt>
              </c:numCache>
            </c:numRef>
          </c:xVal>
          <c:yVal>
            <c:numRef>
              <c:f>'Beispiel 3'!$AE$41:$AJ$41</c:f>
              <c:numCache>
                <c:formatCode>General</c:formatCode>
                <c:ptCount val="6"/>
                <c:pt idx="0">
                  <c:v>3.8449999999999998</c:v>
                </c:pt>
                <c:pt idx="1">
                  <c:v>3.8449999999999998</c:v>
                </c:pt>
                <c:pt idx="2">
                  <c:v>4.0449999999999999</c:v>
                </c:pt>
                <c:pt idx="3">
                  <c:v>4.0449999999999999</c:v>
                </c:pt>
                <c:pt idx="4">
                  <c:v>3.8449999999999998</c:v>
                </c:pt>
                <c:pt idx="5">
                  <c:v>3.8449999999999998</c:v>
                </c:pt>
              </c:numCache>
            </c:numRef>
          </c:yVal>
          <c:smooth val="0"/>
          <c:extLst>
            <c:ext xmlns:c16="http://schemas.microsoft.com/office/drawing/2014/chart" uri="{C3380CC4-5D6E-409C-BE32-E72D297353CC}">
              <c16:uniqueId val="{00000005-9EC8-437A-B981-096003C95828}"/>
            </c:ext>
          </c:extLst>
        </c:ser>
        <c:ser>
          <c:idx val="11"/>
          <c:order val="5"/>
          <c:tx>
            <c:strRef>
              <c:f>'Beispiel 3'!$T$46</c:f>
              <c:strCache>
                <c:ptCount val="1"/>
                <c:pt idx="0">
                  <c:v>Outline</c:v>
                </c:pt>
              </c:strCache>
            </c:strRef>
          </c:tx>
          <c:spPr>
            <a:ln w="19050" cap="rnd">
              <a:noFill/>
              <a:round/>
            </a:ln>
            <a:effectLst/>
          </c:spPr>
          <c:marker>
            <c:symbol val="none"/>
          </c:marker>
          <c:xVal>
            <c:numRef>
              <c:f>'Beispiel 3'!$AE$46:$AF$46</c:f>
              <c:numCache>
                <c:formatCode>General</c:formatCode>
                <c:ptCount val="2"/>
                <c:pt idx="0">
                  <c:v>7.7962500000000015</c:v>
                </c:pt>
                <c:pt idx="1">
                  <c:v>-7.7962500000000015</c:v>
                </c:pt>
              </c:numCache>
            </c:numRef>
          </c:xVal>
          <c:yVal>
            <c:numRef>
              <c:f>'Beispiel 3'!$AE$47:$AF$47</c:f>
              <c:numCache>
                <c:formatCode>General</c:formatCode>
                <c:ptCount val="2"/>
                <c:pt idx="0">
                  <c:v>7.7962500000000015</c:v>
                </c:pt>
                <c:pt idx="1">
                  <c:v>7.7962500000000015</c:v>
                </c:pt>
              </c:numCache>
            </c:numRef>
          </c:yVal>
          <c:smooth val="0"/>
          <c:extLst>
            <c:ext xmlns:c16="http://schemas.microsoft.com/office/drawing/2014/chart" uri="{C3380CC4-5D6E-409C-BE32-E72D297353CC}">
              <c16:uniqueId val="{00000006-9EC8-437A-B981-096003C95828}"/>
            </c:ext>
          </c:extLst>
        </c:ser>
        <c:ser>
          <c:idx val="5"/>
          <c:order val="6"/>
          <c:tx>
            <c:strRef>
              <c:f>'Beispiel 3'!$AD$50</c:f>
              <c:strCache>
                <c:ptCount val="1"/>
                <c:pt idx="0">
                  <c:v>Fixed edges</c:v>
                </c:pt>
              </c:strCache>
            </c:strRef>
          </c:tx>
          <c:spPr>
            <a:ln w="22225" cap="rnd">
              <a:solidFill>
                <a:srgbClr val="C00000"/>
              </a:solidFill>
              <a:prstDash val="sysDash"/>
              <a:round/>
            </a:ln>
            <a:effectLst/>
          </c:spPr>
          <c:marker>
            <c:symbol val="none"/>
          </c:marker>
          <c:xVal>
            <c:numRef>
              <c:f>'Beispiel 3'!$AE$51:$AF$51</c:f>
              <c:numCache>
                <c:formatCode>General</c:formatCode>
                <c:ptCount val="2"/>
                <c:pt idx="0">
                  <c:v>1.5</c:v>
                </c:pt>
                <c:pt idx="1">
                  <c:v>1.5</c:v>
                </c:pt>
              </c:numCache>
            </c:numRef>
          </c:xVal>
          <c:yVal>
            <c:numRef>
              <c:f>'Beispiel 3'!$AE$52:$AF$52</c:f>
              <c:numCache>
                <c:formatCode>General</c:formatCode>
                <c:ptCount val="2"/>
                <c:pt idx="0">
                  <c:v>1.2</c:v>
                </c:pt>
                <c:pt idx="1">
                  <c:v>3.8449999999999998</c:v>
                </c:pt>
              </c:numCache>
            </c:numRef>
          </c:yVal>
          <c:smooth val="0"/>
          <c:extLst>
            <c:ext xmlns:c16="http://schemas.microsoft.com/office/drawing/2014/chart" uri="{C3380CC4-5D6E-409C-BE32-E72D297353CC}">
              <c16:uniqueId val="{00000007-9EC8-437A-B981-096003C95828}"/>
            </c:ext>
          </c:extLst>
        </c:ser>
        <c:ser>
          <c:idx val="6"/>
          <c:order val="7"/>
          <c:tx>
            <c:strRef>
              <c:f>'Beispiel 3'!$AD$50</c:f>
              <c:strCache>
                <c:ptCount val="1"/>
                <c:pt idx="0">
                  <c:v>Fixed edges</c:v>
                </c:pt>
              </c:strCache>
            </c:strRef>
          </c:tx>
          <c:spPr>
            <a:ln w="22225" cap="rnd" cmpd="sng">
              <a:solidFill>
                <a:srgbClr val="C00000"/>
              </a:solidFill>
              <a:prstDash val="sysDash"/>
              <a:round/>
            </a:ln>
            <a:effectLst/>
          </c:spPr>
          <c:marker>
            <c:symbol val="none"/>
          </c:marker>
          <c:xVal>
            <c:numRef>
              <c:f>'Beispiel 3'!$AE$53:$AF$53</c:f>
              <c:numCache>
                <c:formatCode>General</c:formatCode>
                <c:ptCount val="2"/>
                <c:pt idx="0">
                  <c:v>0</c:v>
                </c:pt>
                <c:pt idx="1">
                  <c:v>0</c:v>
                </c:pt>
              </c:numCache>
            </c:numRef>
          </c:xVal>
          <c:yVal>
            <c:numRef>
              <c:f>'Beispiel 3'!$AE$54:$AF$54</c:f>
              <c:numCache>
                <c:formatCode>General</c:formatCode>
                <c:ptCount val="2"/>
                <c:pt idx="0">
                  <c:v>0</c:v>
                </c:pt>
                <c:pt idx="1">
                  <c:v>0</c:v>
                </c:pt>
              </c:numCache>
            </c:numRef>
          </c:yVal>
          <c:smooth val="0"/>
          <c:extLst>
            <c:ext xmlns:c16="http://schemas.microsoft.com/office/drawing/2014/chart" uri="{C3380CC4-5D6E-409C-BE32-E72D297353CC}">
              <c16:uniqueId val="{00000008-9EC8-437A-B981-096003C95828}"/>
            </c:ext>
          </c:extLst>
        </c:ser>
        <c:dLbls>
          <c:showLegendKey val="0"/>
          <c:showVal val="0"/>
          <c:showCatName val="0"/>
          <c:showSerName val="0"/>
          <c:showPercent val="0"/>
          <c:showBubbleSize val="0"/>
        </c:dLbls>
        <c:axId val="471500224"/>
        <c:axId val="471503360"/>
      </c:scatterChart>
      <c:valAx>
        <c:axId val="471500224"/>
        <c:scaling>
          <c:orientation val="minMax"/>
        </c:scaling>
        <c:delete val="0"/>
        <c:axPos val="b"/>
        <c:majorGridlines>
          <c:spPr>
            <a:ln w="9525" cap="flat" cmpd="sng" algn="ctr">
              <a:noFill/>
              <a:round/>
            </a:ln>
            <a:effectLst/>
          </c:spPr>
        </c:majorGridlines>
        <c:numFmt formatCode="General" sourceLinked="1"/>
        <c:majorTickMark val="none"/>
        <c:minorTickMark val="none"/>
        <c:tickLblPos val="none"/>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3360"/>
        <c:crosses val="autoZero"/>
        <c:crossBetween val="midCat"/>
        <c:majorUnit val="2"/>
      </c:valAx>
      <c:valAx>
        <c:axId val="471503360"/>
        <c:scaling>
          <c:orientation val="minMax"/>
          <c:min val="0"/>
        </c:scaling>
        <c:delete val="1"/>
        <c:axPos val="l"/>
        <c:majorGridlines>
          <c:spPr>
            <a:ln w="9525" cap="flat" cmpd="sng" algn="ctr">
              <a:noFill/>
              <a:round/>
            </a:ln>
            <a:effectLst/>
          </c:spPr>
        </c:majorGridlines>
        <c:numFmt formatCode="General" sourceLinked="1"/>
        <c:majorTickMark val="out"/>
        <c:minorTickMark val="none"/>
        <c:tickLblPos val="nextTo"/>
        <c:crossAx val="471500224"/>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76960125828646"/>
          <c:y val="3.2590766423307667E-2"/>
          <c:w val="0.64086199280008271"/>
          <c:h val="0.78598050753298632"/>
        </c:manualLayout>
      </c:layout>
      <c:scatterChart>
        <c:scatterStyle val="smoothMarker"/>
        <c:varyColors val="0"/>
        <c:ser>
          <c:idx val="0"/>
          <c:order val="0"/>
          <c:tx>
            <c:v>NRd Kopf</c:v>
          </c:tx>
          <c:spPr>
            <a:ln w="25400" cap="rnd">
              <a:solidFill>
                <a:schemeClr val="accent1"/>
              </a:solidFill>
              <a:prstDash val="dash"/>
              <a:round/>
            </a:ln>
            <a:effectLst/>
          </c:spPr>
          <c:marker>
            <c:symbol val="none"/>
          </c:marker>
          <c:xVal>
            <c:numRef>
              <c:f>Berechnung!$W$100:$W$202</c:f>
              <c:numCache>
                <c:formatCode>General</c:formatCode>
                <c:ptCount val="103"/>
                <c:pt idx="0">
                  <c:v>0</c:v>
                </c:pt>
                <c:pt idx="1">
                  <c:v>0</c:v>
                </c:pt>
                <c:pt idx="2">
                  <c:v>1.5961353210000002</c:v>
                </c:pt>
                <c:pt idx="3">
                  <c:v>3.1632792840000001</c:v>
                </c:pt>
                <c:pt idx="4">
                  <c:v>4.7014318890000002</c:v>
                </c:pt>
                <c:pt idx="5">
                  <c:v>6.210593136</c:v>
                </c:pt>
                <c:pt idx="6">
                  <c:v>7.6907630250000016</c:v>
                </c:pt>
                <c:pt idx="7">
                  <c:v>9.141941555999999</c:v>
                </c:pt>
                <c:pt idx="8">
                  <c:v>10.564128729</c:v>
                </c:pt>
                <c:pt idx="9">
                  <c:v>11.957324544</c:v>
                </c:pt>
                <c:pt idx="10">
                  <c:v>13.321529001000002</c:v>
                </c:pt>
                <c:pt idx="11">
                  <c:v>14.656742100000001</c:v>
                </c:pt>
                <c:pt idx="12">
                  <c:v>15.962963841000002</c:v>
                </c:pt>
                <c:pt idx="13">
                  <c:v>17.240194224</c:v>
                </c:pt>
                <c:pt idx="14">
                  <c:v>18.488433249000003</c:v>
                </c:pt>
                <c:pt idx="15">
                  <c:v>19.707680916000001</c:v>
                </c:pt>
                <c:pt idx="16">
                  <c:v>20.897937225000003</c:v>
                </c:pt>
                <c:pt idx="17">
                  <c:v>22.059202175999999</c:v>
                </c:pt>
                <c:pt idx="18">
                  <c:v>23.191475769000004</c:v>
                </c:pt>
                <c:pt idx="19">
                  <c:v>24.294758003999998</c:v>
                </c:pt>
                <c:pt idx="20">
                  <c:v>25.369048881000005</c:v>
                </c:pt>
                <c:pt idx="21">
                  <c:v>26.414348400000002</c:v>
                </c:pt>
                <c:pt idx="22">
                  <c:v>27.430656561000003</c:v>
                </c:pt>
                <c:pt idx="23">
                  <c:v>28.417973364000002</c:v>
                </c:pt>
                <c:pt idx="24">
                  <c:v>29.376298809000005</c:v>
                </c:pt>
                <c:pt idx="25">
                  <c:v>30.305632895999999</c:v>
                </c:pt>
                <c:pt idx="26">
                  <c:v>31.205975625000004</c:v>
                </c:pt>
                <c:pt idx="27">
                  <c:v>32.077326996000004</c:v>
                </c:pt>
                <c:pt idx="28">
                  <c:v>32.919687009</c:v>
                </c:pt>
                <c:pt idx="29">
                  <c:v>33.733055664000005</c:v>
                </c:pt>
                <c:pt idx="30">
                  <c:v>34.517432961000004</c:v>
                </c:pt>
                <c:pt idx="31">
                  <c:v>35.272818899999997</c:v>
                </c:pt>
                <c:pt idx="32">
                  <c:v>35.999213481000005</c:v>
                </c:pt>
                <c:pt idx="33">
                  <c:v>36.696616704</c:v>
                </c:pt>
                <c:pt idx="34">
                  <c:v>37.365028569000003</c:v>
                </c:pt>
                <c:pt idx="35">
                  <c:v>38.004449076</c:v>
                </c:pt>
                <c:pt idx="36">
                  <c:v>38.614878224999998</c:v>
                </c:pt>
                <c:pt idx="37">
                  <c:v>39.196316015999997</c:v>
                </c:pt>
                <c:pt idx="38">
                  <c:v>39.748762449000004</c:v>
                </c:pt>
                <c:pt idx="39">
                  <c:v>40.272217523999998</c:v>
                </c:pt>
                <c:pt idx="40">
                  <c:v>40.766681241000001</c:v>
                </c:pt>
                <c:pt idx="41">
                  <c:v>41.232153600000004</c:v>
                </c:pt>
                <c:pt idx="42">
                  <c:v>41.668634601000008</c:v>
                </c:pt>
                <c:pt idx="43">
                  <c:v>42.076124243999999</c:v>
                </c:pt>
                <c:pt idx="44">
                  <c:v>42.454622528999998</c:v>
                </c:pt>
                <c:pt idx="45">
                  <c:v>42.804129456000005</c:v>
                </c:pt>
                <c:pt idx="46">
                  <c:v>43.124645025000007</c:v>
                </c:pt>
                <c:pt idx="47">
                  <c:v>43.416169236000009</c:v>
                </c:pt>
                <c:pt idx="48">
                  <c:v>43.678702089000005</c:v>
                </c:pt>
                <c:pt idx="49">
                  <c:v>43.912243584000002</c:v>
                </c:pt>
                <c:pt idx="50">
                  <c:v>44.116793721000008</c:v>
                </c:pt>
                <c:pt idx="51">
                  <c:v>44.292352500000007</c:v>
                </c:pt>
                <c:pt idx="52">
                  <c:v>44.438919921</c:v>
                </c:pt>
                <c:pt idx="53">
                  <c:v>44.556495984000001</c:v>
                </c:pt>
                <c:pt idx="54">
                  <c:v>44.645080689000004</c:v>
                </c:pt>
                <c:pt idx="55">
                  <c:v>44.704674036000007</c:v>
                </c:pt>
                <c:pt idx="56">
                  <c:v>44.735276025000005</c:v>
                </c:pt>
                <c:pt idx="57">
                  <c:v>44.736886656000003</c:v>
                </c:pt>
                <c:pt idx="58">
                  <c:v>44.709505929000009</c:v>
                </c:pt>
                <c:pt idx="59">
                  <c:v>44.653133844000003</c:v>
                </c:pt>
                <c:pt idx="60">
                  <c:v>44.567770401000004</c:v>
                </c:pt>
                <c:pt idx="61">
                  <c:v>44.4534156</c:v>
                </c:pt>
                <c:pt idx="62">
                  <c:v>44.31006944100001</c:v>
                </c:pt>
                <c:pt idx="63">
                  <c:v>44.137731924000001</c:v>
                </c:pt>
                <c:pt idx="64">
                  <c:v>43.936403049000006</c:v>
                </c:pt>
                <c:pt idx="65">
                  <c:v>43.706082816000006</c:v>
                </c:pt>
                <c:pt idx="66">
                  <c:v>43.446771225000006</c:v>
                </c:pt>
                <c:pt idx="67">
                  <c:v>43.158468276000001</c:v>
                </c:pt>
                <c:pt idx="68">
                  <c:v>42.84117396900001</c:v>
                </c:pt>
                <c:pt idx="69">
                  <c:v>42.494888304000007</c:v>
                </c:pt>
                <c:pt idx="70">
                  <c:v>42.119611281000012</c:v>
                </c:pt>
                <c:pt idx="71">
                  <c:v>41.715342899999996</c:v>
                </c:pt>
                <c:pt idx="72">
                  <c:v>41.28208316100001</c:v>
                </c:pt>
                <c:pt idx="73">
                  <c:v>40.819832064000003</c:v>
                </c:pt>
                <c:pt idx="74">
                  <c:v>40.328589608999998</c:v>
                </c:pt>
                <c:pt idx="75">
                  <c:v>39.808355796000008</c:v>
                </c:pt>
                <c:pt idx="76">
                  <c:v>39.259130625000004</c:v>
                </c:pt>
                <c:pt idx="77">
                  <c:v>38.680914096000002</c:v>
                </c:pt>
                <c:pt idx="78">
                  <c:v>38.073706209000015</c:v>
                </c:pt>
                <c:pt idx="79">
                  <c:v>37.437506964000015</c:v>
                </c:pt>
                <c:pt idx="80">
                  <c:v>36.772316360999994</c:v>
                </c:pt>
                <c:pt idx="81">
                  <c:v>36.078134400000017</c:v>
                </c:pt>
                <c:pt idx="82">
                  <c:v>35.354961081000006</c:v>
                </c:pt>
                <c:pt idx="83">
                  <c:v>34.602796404000003</c:v>
                </c:pt>
                <c:pt idx="84">
                  <c:v>33.821640369000001</c:v>
                </c:pt>
                <c:pt idx="85">
                  <c:v>33.011492976</c:v>
                </c:pt>
                <c:pt idx="86">
                  <c:v>32.172354225000021</c:v>
                </c:pt>
                <c:pt idx="87">
                  <c:v>31.304224115999993</c:v>
                </c:pt>
                <c:pt idx="88">
                  <c:v>30.407102649000002</c:v>
                </c:pt>
                <c:pt idx="89">
                  <c:v>29.480989824000016</c:v>
                </c:pt>
                <c:pt idx="90">
                  <c:v>28.525885641000002</c:v>
                </c:pt>
                <c:pt idx="91">
                  <c:v>27.541790100000014</c:v>
                </c:pt>
                <c:pt idx="92">
                  <c:v>26.528703201000003</c:v>
                </c:pt>
                <c:pt idx="93">
                  <c:v>25.486624944000017</c:v>
                </c:pt>
                <c:pt idx="94">
                  <c:v>24.415555329000004</c:v>
                </c:pt>
                <c:pt idx="95">
                  <c:v>23.315494356000013</c:v>
                </c:pt>
                <c:pt idx="96">
                  <c:v>22.186442025000026</c:v>
                </c:pt>
                <c:pt idx="97">
                  <c:v>21.028398336000013</c:v>
                </c:pt>
                <c:pt idx="98">
                  <c:v>19.841363289</c:v>
                </c:pt>
                <c:pt idx="99">
                  <c:v>18.625336884000014</c:v>
                </c:pt>
                <c:pt idx="100">
                  <c:v>17.380319120999999</c:v>
                </c:pt>
                <c:pt idx="101">
                  <c:v>16.106310000000015</c:v>
                </c:pt>
                <c:pt idx="102">
                  <c:v>0</c:v>
                </c:pt>
              </c:numCache>
            </c:numRef>
          </c:xVal>
          <c:yVal>
            <c:numRef>
              <c:f>Berechnung!$U$100:$U$202</c:f>
              <c:numCache>
                <c:formatCode>General</c:formatCode>
                <c:ptCount val="103"/>
                <c:pt idx="0">
                  <c:v>0</c:v>
                </c:pt>
                <c:pt idx="1">
                  <c:v>0</c:v>
                </c:pt>
                <c:pt idx="2">
                  <c:v>9.7614000000000001</c:v>
                </c:pt>
                <c:pt idx="3">
                  <c:v>19.5228</c:v>
                </c:pt>
                <c:pt idx="4">
                  <c:v>29.284199999999998</c:v>
                </c:pt>
                <c:pt idx="5">
                  <c:v>39.0456</c:v>
                </c:pt>
                <c:pt idx="6">
                  <c:v>48.807000000000002</c:v>
                </c:pt>
                <c:pt idx="7">
                  <c:v>58.568399999999997</c:v>
                </c:pt>
                <c:pt idx="8">
                  <c:v>68.329800000000006</c:v>
                </c:pt>
                <c:pt idx="9">
                  <c:v>78.091200000000001</c:v>
                </c:pt>
                <c:pt idx="10">
                  <c:v>87.852599999999995</c:v>
                </c:pt>
                <c:pt idx="11">
                  <c:v>97.614000000000004</c:v>
                </c:pt>
                <c:pt idx="12">
                  <c:v>107.3754</c:v>
                </c:pt>
                <c:pt idx="13">
                  <c:v>117.13679999999999</c:v>
                </c:pt>
                <c:pt idx="14">
                  <c:v>126.8982</c:v>
                </c:pt>
                <c:pt idx="15">
                  <c:v>136.65960000000001</c:v>
                </c:pt>
                <c:pt idx="16">
                  <c:v>146.42099999999999</c:v>
                </c:pt>
                <c:pt idx="17">
                  <c:v>156.1824</c:v>
                </c:pt>
                <c:pt idx="18">
                  <c:v>165.94380000000001</c:v>
                </c:pt>
                <c:pt idx="19">
                  <c:v>175.70519999999999</c:v>
                </c:pt>
                <c:pt idx="20">
                  <c:v>185.4666</c:v>
                </c:pt>
                <c:pt idx="21">
                  <c:v>195.22800000000001</c:v>
                </c:pt>
                <c:pt idx="22">
                  <c:v>204.98939999999999</c:v>
                </c:pt>
                <c:pt idx="23">
                  <c:v>214.7508</c:v>
                </c:pt>
                <c:pt idx="24">
                  <c:v>224.51220000000001</c:v>
                </c:pt>
                <c:pt idx="25">
                  <c:v>234.27359999999999</c:v>
                </c:pt>
                <c:pt idx="26">
                  <c:v>244.035</c:v>
                </c:pt>
                <c:pt idx="27">
                  <c:v>253.79640000000001</c:v>
                </c:pt>
                <c:pt idx="28">
                  <c:v>263.55779999999999</c:v>
                </c:pt>
                <c:pt idx="29">
                  <c:v>273.31920000000002</c:v>
                </c:pt>
                <c:pt idx="30">
                  <c:v>283.0806</c:v>
                </c:pt>
                <c:pt idx="31">
                  <c:v>292.84199999999998</c:v>
                </c:pt>
                <c:pt idx="32">
                  <c:v>302.60340000000002</c:v>
                </c:pt>
                <c:pt idx="33">
                  <c:v>312.3648</c:v>
                </c:pt>
                <c:pt idx="34">
                  <c:v>322.12619999999998</c:v>
                </c:pt>
                <c:pt idx="35">
                  <c:v>331.88760000000002</c:v>
                </c:pt>
                <c:pt idx="36">
                  <c:v>341.649</c:v>
                </c:pt>
                <c:pt idx="37">
                  <c:v>351.41039999999998</c:v>
                </c:pt>
                <c:pt idx="38">
                  <c:v>361.17180000000002</c:v>
                </c:pt>
                <c:pt idx="39">
                  <c:v>370.9332</c:v>
                </c:pt>
                <c:pt idx="40">
                  <c:v>380.69459999999998</c:v>
                </c:pt>
                <c:pt idx="41">
                  <c:v>390.45600000000002</c:v>
                </c:pt>
                <c:pt idx="42">
                  <c:v>400.2174</c:v>
                </c:pt>
                <c:pt idx="43">
                  <c:v>409.97879999999998</c:v>
                </c:pt>
                <c:pt idx="44">
                  <c:v>419.74020000000002</c:v>
                </c:pt>
                <c:pt idx="45">
                  <c:v>429.5016</c:v>
                </c:pt>
                <c:pt idx="46">
                  <c:v>439.26299999999998</c:v>
                </c:pt>
                <c:pt idx="47">
                  <c:v>449.02440000000001</c:v>
                </c:pt>
                <c:pt idx="48">
                  <c:v>458.78579999999999</c:v>
                </c:pt>
                <c:pt idx="49">
                  <c:v>468.54719999999998</c:v>
                </c:pt>
                <c:pt idx="50">
                  <c:v>478.30860000000001</c:v>
                </c:pt>
                <c:pt idx="51">
                  <c:v>488.07</c:v>
                </c:pt>
                <c:pt idx="52">
                  <c:v>497.83139999999997</c:v>
                </c:pt>
                <c:pt idx="53">
                  <c:v>507.59280000000001</c:v>
                </c:pt>
                <c:pt idx="54">
                  <c:v>517.35419999999999</c:v>
                </c:pt>
                <c:pt idx="55">
                  <c:v>527.11559999999997</c:v>
                </c:pt>
                <c:pt idx="56">
                  <c:v>536.87700000000007</c:v>
                </c:pt>
                <c:pt idx="57">
                  <c:v>546.63840000000005</c:v>
                </c:pt>
                <c:pt idx="58">
                  <c:v>556.39979999999991</c:v>
                </c:pt>
                <c:pt idx="59">
                  <c:v>566.16120000000001</c:v>
                </c:pt>
                <c:pt idx="60">
                  <c:v>575.92259999999999</c:v>
                </c:pt>
                <c:pt idx="61">
                  <c:v>585.68399999999997</c:v>
                </c:pt>
                <c:pt idx="62">
                  <c:v>595.44539999999995</c:v>
                </c:pt>
                <c:pt idx="63">
                  <c:v>605.20680000000004</c:v>
                </c:pt>
                <c:pt idx="64">
                  <c:v>614.96820000000002</c:v>
                </c:pt>
                <c:pt idx="65">
                  <c:v>624.7296</c:v>
                </c:pt>
                <c:pt idx="66">
                  <c:v>634.49099999999999</c:v>
                </c:pt>
                <c:pt idx="67">
                  <c:v>644.25239999999997</c:v>
                </c:pt>
                <c:pt idx="68">
                  <c:v>654.01380000000006</c:v>
                </c:pt>
                <c:pt idx="69">
                  <c:v>663.77520000000004</c:v>
                </c:pt>
                <c:pt idx="70">
                  <c:v>673.53659999999991</c:v>
                </c:pt>
                <c:pt idx="71">
                  <c:v>683.298</c:v>
                </c:pt>
                <c:pt idx="72">
                  <c:v>693.05939999999998</c:v>
                </c:pt>
                <c:pt idx="73">
                  <c:v>702.82079999999996</c:v>
                </c:pt>
                <c:pt idx="74">
                  <c:v>712.58219999999994</c:v>
                </c:pt>
                <c:pt idx="75">
                  <c:v>722.34360000000004</c:v>
                </c:pt>
                <c:pt idx="76">
                  <c:v>732.10500000000002</c:v>
                </c:pt>
                <c:pt idx="77">
                  <c:v>741.8664</c:v>
                </c:pt>
                <c:pt idx="78">
                  <c:v>751.62779999999998</c:v>
                </c:pt>
                <c:pt idx="79">
                  <c:v>761.38919999999996</c:v>
                </c:pt>
                <c:pt idx="80">
                  <c:v>771.15060000000005</c:v>
                </c:pt>
                <c:pt idx="81">
                  <c:v>780.91200000000003</c:v>
                </c:pt>
                <c:pt idx="82">
                  <c:v>790.67340000000002</c:v>
                </c:pt>
                <c:pt idx="83">
                  <c:v>800.4348</c:v>
                </c:pt>
                <c:pt idx="84">
                  <c:v>810.19619999999998</c:v>
                </c:pt>
                <c:pt idx="85">
                  <c:v>819.95759999999996</c:v>
                </c:pt>
                <c:pt idx="86">
                  <c:v>829.71899999999994</c:v>
                </c:pt>
                <c:pt idx="87">
                  <c:v>839.48040000000003</c:v>
                </c:pt>
                <c:pt idx="88">
                  <c:v>849.24180000000001</c:v>
                </c:pt>
                <c:pt idx="89">
                  <c:v>859.00319999999999</c:v>
                </c:pt>
                <c:pt idx="90">
                  <c:v>868.76459999999997</c:v>
                </c:pt>
                <c:pt idx="91">
                  <c:v>878.52599999999995</c:v>
                </c:pt>
                <c:pt idx="92">
                  <c:v>888.28740000000005</c:v>
                </c:pt>
                <c:pt idx="93">
                  <c:v>898.04880000000003</c:v>
                </c:pt>
                <c:pt idx="94">
                  <c:v>907.81020000000001</c:v>
                </c:pt>
                <c:pt idx="95">
                  <c:v>917.57159999999999</c:v>
                </c:pt>
                <c:pt idx="96">
                  <c:v>927.33299999999997</c:v>
                </c:pt>
                <c:pt idx="97">
                  <c:v>937.09439999999995</c:v>
                </c:pt>
                <c:pt idx="98">
                  <c:v>946.85579999999993</c:v>
                </c:pt>
                <c:pt idx="99">
                  <c:v>956.61720000000003</c:v>
                </c:pt>
                <c:pt idx="100">
                  <c:v>966.37860000000001</c:v>
                </c:pt>
                <c:pt idx="101">
                  <c:v>976.14</c:v>
                </c:pt>
                <c:pt idx="102">
                  <c:v>976.14</c:v>
                </c:pt>
              </c:numCache>
            </c:numRef>
          </c:yVal>
          <c:smooth val="1"/>
          <c:extLst>
            <c:ext xmlns:c16="http://schemas.microsoft.com/office/drawing/2014/chart" uri="{C3380CC4-5D6E-409C-BE32-E72D297353CC}">
              <c16:uniqueId val="{00000000-F68A-4273-9E79-F7C336E7C14D}"/>
            </c:ext>
          </c:extLst>
        </c:ser>
        <c:ser>
          <c:idx val="2"/>
          <c:order val="1"/>
          <c:tx>
            <c:v>NRd Mitte</c:v>
          </c:tx>
          <c:spPr>
            <a:ln w="25400" cap="rnd">
              <a:solidFill>
                <a:schemeClr val="accent3">
                  <a:lumMod val="75000"/>
                </a:schemeClr>
              </a:solidFill>
              <a:prstDash val="lgDash"/>
              <a:round/>
            </a:ln>
            <a:effectLst/>
          </c:spPr>
          <c:marker>
            <c:symbol val="none"/>
          </c:marker>
          <c:xVal>
            <c:numRef>
              <c:f>Berechnung!$AH$100:$AH$202</c:f>
              <c:numCache>
                <c:formatCode>General</c:formatCode>
                <c:ptCount val="103"/>
                <c:pt idx="0">
                  <c:v>0</c:v>
                </c:pt>
                <c:pt idx="1">
                  <c:v>17.568030349999997</c:v>
                </c:pt>
                <c:pt idx="2">
                  <c:v>17.568030349999997</c:v>
                </c:pt>
                <c:pt idx="3">
                  <c:v>17.568030349999997</c:v>
                </c:pt>
                <c:pt idx="4">
                  <c:v>17.568030349999997</c:v>
                </c:pt>
                <c:pt idx="5">
                  <c:v>17.568030349999997</c:v>
                </c:pt>
                <c:pt idx="6">
                  <c:v>17.568030349999997</c:v>
                </c:pt>
                <c:pt idx="7">
                  <c:v>17.568030349999997</c:v>
                </c:pt>
                <c:pt idx="8">
                  <c:v>17.568030349999997</c:v>
                </c:pt>
                <c:pt idx="9">
                  <c:v>17.568030349999997</c:v>
                </c:pt>
                <c:pt idx="10">
                  <c:v>17.568030349999997</c:v>
                </c:pt>
                <c:pt idx="11">
                  <c:v>17.568030349999997</c:v>
                </c:pt>
                <c:pt idx="12">
                  <c:v>19.050291298499999</c:v>
                </c:pt>
                <c:pt idx="13">
                  <c:v>20.482635503999994</c:v>
                </c:pt>
                <c:pt idx="14">
                  <c:v>21.865062966499995</c:v>
                </c:pt>
                <c:pt idx="15">
                  <c:v>23.197573685999995</c:v>
                </c:pt>
                <c:pt idx="16">
                  <c:v>24.480167662499991</c:v>
                </c:pt>
                <c:pt idx="17">
                  <c:v>25.712844895999989</c:v>
                </c:pt>
                <c:pt idx="18">
                  <c:v>26.895605386499991</c:v>
                </c:pt>
                <c:pt idx="19">
                  <c:v>28.028449133999985</c:v>
                </c:pt>
                <c:pt idx="20">
                  <c:v>29.111376138499992</c:v>
                </c:pt>
                <c:pt idx="21">
                  <c:v>30.144386399999988</c:v>
                </c:pt>
                <c:pt idx="22">
                  <c:v>31.127479918499994</c:v>
                </c:pt>
                <c:pt idx="23">
                  <c:v>32.060656693999995</c:v>
                </c:pt>
                <c:pt idx="24">
                  <c:v>32.943916726499992</c:v>
                </c:pt>
                <c:pt idx="25">
                  <c:v>33.777260015999993</c:v>
                </c:pt>
                <c:pt idx="26">
                  <c:v>34.560686562499995</c:v>
                </c:pt>
                <c:pt idx="27">
                  <c:v>35.29419636599998</c:v>
                </c:pt>
                <c:pt idx="28">
                  <c:v>35.977789426499989</c:v>
                </c:pt>
                <c:pt idx="29">
                  <c:v>36.611465744</c:v>
                </c:pt>
                <c:pt idx="30">
                  <c:v>37.195225318499986</c:v>
                </c:pt>
                <c:pt idx="31">
                  <c:v>37.729068149999989</c:v>
                </c:pt>
                <c:pt idx="32">
                  <c:v>38.212994238499981</c:v>
                </c:pt>
                <c:pt idx="33">
                  <c:v>38.647003583999989</c:v>
                </c:pt>
                <c:pt idx="34">
                  <c:v>39.03109618649998</c:v>
                </c:pt>
                <c:pt idx="35">
                  <c:v>39.36527204599998</c:v>
                </c:pt>
                <c:pt idx="36">
                  <c:v>39.64953116249999</c:v>
                </c:pt>
                <c:pt idx="37">
                  <c:v>39.883873535999982</c:v>
                </c:pt>
                <c:pt idx="38">
                  <c:v>40.06829916649999</c:v>
                </c:pt>
                <c:pt idx="39">
                  <c:v>40.202808053999981</c:v>
                </c:pt>
                <c:pt idx="40">
                  <c:v>40.287400198499981</c:v>
                </c:pt>
                <c:pt idx="41">
                  <c:v>40.322075599999991</c:v>
                </c:pt>
                <c:pt idx="42">
                  <c:v>40.30683425849999</c:v>
                </c:pt>
                <c:pt idx="43">
                  <c:v>40.241676173999991</c:v>
                </c:pt>
                <c:pt idx="44">
                  <c:v>40.126601346499982</c:v>
                </c:pt>
                <c:pt idx="45">
                  <c:v>39.961609775999989</c:v>
                </c:pt>
                <c:pt idx="46">
                  <c:v>39.746701462499992</c:v>
                </c:pt>
                <c:pt idx="47">
                  <c:v>39.481876405999998</c:v>
                </c:pt>
                <c:pt idx="48">
                  <c:v>39.167134606499985</c:v>
                </c:pt>
                <c:pt idx="49">
                  <c:v>38.802476063999983</c:v>
                </c:pt>
                <c:pt idx="50">
                  <c:v>38.387900778499976</c:v>
                </c:pt>
                <c:pt idx="51">
                  <c:v>37.923408749999986</c:v>
                </c:pt>
                <c:pt idx="52">
                  <c:v>37.408999978499992</c:v>
                </c:pt>
                <c:pt idx="53">
                  <c:v>36.844674463999986</c:v>
                </c:pt>
                <c:pt idx="54">
                  <c:v>36.230432206499984</c:v>
                </c:pt>
                <c:pt idx="55">
                  <c:v>35.566273205999977</c:v>
                </c:pt>
                <c:pt idx="56">
                  <c:v>34.85219746249998</c:v>
                </c:pt>
                <c:pt idx="57">
                  <c:v>34.088204975999986</c:v>
                </c:pt>
                <c:pt idx="58">
                  <c:v>33.274295746500002</c:v>
                </c:pt>
                <c:pt idx="59">
                  <c:v>32.410469773999992</c:v>
                </c:pt>
                <c:pt idx="60">
                  <c:v>31.496727058499985</c:v>
                </c:pt>
                <c:pt idx="61">
                  <c:v>30.533067599999988</c:v>
                </c:pt>
                <c:pt idx="62">
                  <c:v>29.519491398499994</c:v>
                </c:pt>
                <c:pt idx="63">
                  <c:v>28.455998453999992</c:v>
                </c:pt>
                <c:pt idx="64">
                  <c:v>27.342588766499983</c:v>
                </c:pt>
                <c:pt idx="65">
                  <c:v>26.179262335999987</c:v>
                </c:pt>
                <c:pt idx="66">
                  <c:v>24.966019162499993</c:v>
                </c:pt>
                <c:pt idx="67">
                  <c:v>23.702859245999985</c:v>
                </c:pt>
                <c:pt idx="68">
                  <c:v>22.389782586499983</c:v>
                </c:pt>
                <c:pt idx="69">
                  <c:v>21.026789183999981</c:v>
                </c:pt>
                <c:pt idx="70">
                  <c:v>19.613879038499999</c:v>
                </c:pt>
                <c:pt idx="71">
                  <c:v>18.15105214999998</c:v>
                </c:pt>
                <c:pt idx="72">
                  <c:v>16.638308518499997</c:v>
                </c:pt>
                <c:pt idx="73">
                  <c:v>15.07564814399999</c:v>
                </c:pt>
                <c:pt idx="74">
                  <c:v>13.46307102650001</c:v>
                </c:pt>
                <c:pt idx="75">
                  <c:v>11.800577165999995</c:v>
                </c:pt>
                <c:pt idx="76">
                  <c:v>10.088166562499989</c:v>
                </c:pt>
                <c:pt idx="77">
                  <c:v>8.3258392159999843</c:v>
                </c:pt>
                <c:pt idx="78">
                  <c:v>6.5135951264999647</c:v>
                </c:pt>
                <c:pt idx="79">
                  <c:v>4.6514342939999889</c:v>
                </c:pt>
                <c:pt idx="80">
                  <c:v>2.7393567184999856</c:v>
                </c:pt>
                <c:pt idx="81">
                  <c:v>0.77736240000000545</c:v>
                </c:pt>
                <c:pt idx="82">
                  <c:v>-1.2345486615000176</c:v>
                </c:pt>
                <c:pt idx="83">
                  <c:v>-3.2963764659999963</c:v>
                </c:pt>
                <c:pt idx="84">
                  <c:v>-5.4081210134999997</c:v>
                </c:pt>
                <c:pt idx="85">
                  <c:v>-7.569782304000003</c:v>
                </c:pt>
                <c:pt idx="86">
                  <c:v>-9.7813603375000024</c:v>
                </c:pt>
                <c:pt idx="87">
                  <c:v>-12.042855114000028</c:v>
                </c:pt>
                <c:pt idx="88">
                  <c:v>-14.354266633500005</c:v>
                </c:pt>
                <c:pt idx="89">
                  <c:v>-16.715594896000006</c:v>
                </c:pt>
                <c:pt idx="90">
                  <c:v>-19.126839901499988</c:v>
                </c:pt>
                <c:pt idx="91">
                  <c:v>-21.588001650000013</c:v>
                </c:pt>
                <c:pt idx="92">
                  <c:v>-24.099080141500011</c:v>
                </c:pt>
                <c:pt idx="93">
                  <c:v>-26.660075376000012</c:v>
                </c:pt>
                <c:pt idx="94">
                  <c:v>-29.270987353500015</c:v>
                </c:pt>
                <c:pt idx="95">
                  <c:v>-31.93181607399999</c:v>
                </c:pt>
                <c:pt idx="96">
                  <c:v>-34.642561537500015</c:v>
                </c:pt>
                <c:pt idx="97">
                  <c:v>-37.403223744000002</c:v>
                </c:pt>
                <c:pt idx="98">
                  <c:v>-40.213802693499993</c:v>
                </c:pt>
                <c:pt idx="99">
                  <c:v>-43.074298385999967</c:v>
                </c:pt>
                <c:pt idx="100">
                  <c:v>-45.984710821500009</c:v>
                </c:pt>
                <c:pt idx="101">
                  <c:v>-48.945040000000013</c:v>
                </c:pt>
                <c:pt idx="102">
                  <c:v>0</c:v>
                </c:pt>
              </c:numCache>
            </c:numRef>
          </c:xVal>
          <c:yVal>
            <c:numRef>
              <c:f>Berechnung!$AG$100:$AG$202</c:f>
              <c:numCache>
                <c:formatCode>General</c:formatCode>
                <c:ptCount val="103"/>
                <c:pt idx="0">
                  <c:v>962.63179999999988</c:v>
                </c:pt>
                <c:pt idx="1">
                  <c:v>962.63179999999988</c:v>
                </c:pt>
                <c:pt idx="2">
                  <c:v>962.63179999999988</c:v>
                </c:pt>
                <c:pt idx="3">
                  <c:v>962.63179999999988</c:v>
                </c:pt>
                <c:pt idx="4">
                  <c:v>962.63179999999988</c:v>
                </c:pt>
                <c:pt idx="5">
                  <c:v>962.63179999999988</c:v>
                </c:pt>
                <c:pt idx="6">
                  <c:v>962.63179999999988</c:v>
                </c:pt>
                <c:pt idx="7">
                  <c:v>962.63179999999988</c:v>
                </c:pt>
                <c:pt idx="8">
                  <c:v>962.63179999999988</c:v>
                </c:pt>
                <c:pt idx="9">
                  <c:v>962.63179999999988</c:v>
                </c:pt>
                <c:pt idx="10">
                  <c:v>962.63179999999988</c:v>
                </c:pt>
                <c:pt idx="11">
                  <c:v>962.63179999999988</c:v>
                </c:pt>
                <c:pt idx="12">
                  <c:v>948.95597999999995</c:v>
                </c:pt>
                <c:pt idx="13">
                  <c:v>935.28015999999968</c:v>
                </c:pt>
                <c:pt idx="14">
                  <c:v>921.60433999999987</c:v>
                </c:pt>
                <c:pt idx="15">
                  <c:v>907.92851999999971</c:v>
                </c:pt>
                <c:pt idx="16">
                  <c:v>894.25269999999966</c:v>
                </c:pt>
                <c:pt idx="17">
                  <c:v>880.57687999999962</c:v>
                </c:pt>
                <c:pt idx="18">
                  <c:v>866.90105999999969</c:v>
                </c:pt>
                <c:pt idx="19">
                  <c:v>853.22523999999964</c:v>
                </c:pt>
                <c:pt idx="20">
                  <c:v>839.54941999999983</c:v>
                </c:pt>
                <c:pt idx="21">
                  <c:v>825.87359999999967</c:v>
                </c:pt>
                <c:pt idx="22">
                  <c:v>812.19777999999985</c:v>
                </c:pt>
                <c:pt idx="23">
                  <c:v>798.52195999999992</c:v>
                </c:pt>
                <c:pt idx="24">
                  <c:v>784.84613999999988</c:v>
                </c:pt>
                <c:pt idx="25">
                  <c:v>771.17031999999983</c:v>
                </c:pt>
                <c:pt idx="26">
                  <c:v>757.4944999999999</c:v>
                </c:pt>
                <c:pt idx="27">
                  <c:v>743.81867999999963</c:v>
                </c:pt>
                <c:pt idx="28">
                  <c:v>730.14285999999981</c:v>
                </c:pt>
                <c:pt idx="29">
                  <c:v>716.46703999999988</c:v>
                </c:pt>
                <c:pt idx="30">
                  <c:v>702.79121999999984</c:v>
                </c:pt>
                <c:pt idx="31">
                  <c:v>689.11539999999979</c:v>
                </c:pt>
                <c:pt idx="32">
                  <c:v>675.43957999999964</c:v>
                </c:pt>
                <c:pt idx="33">
                  <c:v>661.76375999999982</c:v>
                </c:pt>
                <c:pt idx="34">
                  <c:v>648.08793999999966</c:v>
                </c:pt>
                <c:pt idx="35">
                  <c:v>634.41211999999962</c:v>
                </c:pt>
                <c:pt idx="36">
                  <c:v>620.7362999999998</c:v>
                </c:pt>
                <c:pt idx="37">
                  <c:v>607.06047999999976</c:v>
                </c:pt>
                <c:pt idx="38">
                  <c:v>593.38465999999983</c:v>
                </c:pt>
                <c:pt idx="39">
                  <c:v>579.70883999999978</c:v>
                </c:pt>
                <c:pt idx="40">
                  <c:v>566.03301999999974</c:v>
                </c:pt>
                <c:pt idx="41">
                  <c:v>552.35719999999992</c:v>
                </c:pt>
                <c:pt idx="42">
                  <c:v>538.68137999999999</c:v>
                </c:pt>
                <c:pt idx="43">
                  <c:v>525.00555999999995</c:v>
                </c:pt>
                <c:pt idx="44">
                  <c:v>511.32973999999973</c:v>
                </c:pt>
                <c:pt idx="45">
                  <c:v>497.65391999999986</c:v>
                </c:pt>
                <c:pt idx="46">
                  <c:v>483.97809999999987</c:v>
                </c:pt>
                <c:pt idx="47">
                  <c:v>470.30228</c:v>
                </c:pt>
                <c:pt idx="48">
                  <c:v>456.62645999999989</c:v>
                </c:pt>
                <c:pt idx="49">
                  <c:v>442.95063999999985</c:v>
                </c:pt>
                <c:pt idx="50">
                  <c:v>429.27481999999981</c:v>
                </c:pt>
                <c:pt idx="51">
                  <c:v>415.59899999999982</c:v>
                </c:pt>
                <c:pt idx="52">
                  <c:v>401.92317999999989</c:v>
                </c:pt>
                <c:pt idx="53">
                  <c:v>388.24735999999984</c:v>
                </c:pt>
                <c:pt idx="54">
                  <c:v>374.5715399999998</c:v>
                </c:pt>
                <c:pt idx="55">
                  <c:v>360.89571999999976</c:v>
                </c:pt>
                <c:pt idx="56">
                  <c:v>347.21989999999977</c:v>
                </c:pt>
                <c:pt idx="57">
                  <c:v>333.54407999999984</c:v>
                </c:pt>
                <c:pt idx="58">
                  <c:v>319.86826000000002</c:v>
                </c:pt>
                <c:pt idx="59">
                  <c:v>306.19243999999998</c:v>
                </c:pt>
                <c:pt idx="60">
                  <c:v>292.51661999999988</c:v>
                </c:pt>
                <c:pt idx="61">
                  <c:v>278.84079999999989</c:v>
                </c:pt>
                <c:pt idx="62">
                  <c:v>265.16497999999996</c:v>
                </c:pt>
                <c:pt idx="63">
                  <c:v>251.48915999999994</c:v>
                </c:pt>
                <c:pt idx="64">
                  <c:v>237.81333999999987</c:v>
                </c:pt>
                <c:pt idx="65">
                  <c:v>224.13751999999988</c:v>
                </c:pt>
                <c:pt idx="66">
                  <c:v>210.46169999999995</c:v>
                </c:pt>
                <c:pt idx="67">
                  <c:v>196.78587999999988</c:v>
                </c:pt>
                <c:pt idx="68">
                  <c:v>183.11005999999986</c:v>
                </c:pt>
                <c:pt idx="69">
                  <c:v>169.43423999999985</c:v>
                </c:pt>
                <c:pt idx="70">
                  <c:v>155.75842</c:v>
                </c:pt>
                <c:pt idx="71">
                  <c:v>142.08259999999984</c:v>
                </c:pt>
                <c:pt idx="72">
                  <c:v>128.40677999999997</c:v>
                </c:pt>
                <c:pt idx="73">
                  <c:v>114.73095999999994</c:v>
                </c:pt>
                <c:pt idx="74">
                  <c:v>101.05514000000009</c:v>
                </c:pt>
                <c:pt idx="75">
                  <c:v>87.379319999999964</c:v>
                </c:pt>
                <c:pt idx="76">
                  <c:v>73.70349999999992</c:v>
                </c:pt>
                <c:pt idx="77">
                  <c:v>60.027679999999897</c:v>
                </c:pt>
                <c:pt idx="78">
                  <c:v>46.351859999999746</c:v>
                </c:pt>
                <c:pt idx="79">
                  <c:v>32.676039999999922</c:v>
                </c:pt>
                <c:pt idx="80">
                  <c:v>19.000219999999899</c:v>
                </c:pt>
                <c:pt idx="81">
                  <c:v>5.324400000000038</c:v>
                </c:pt>
                <c:pt idx="82">
                  <c:v>-8.3514200000001182</c:v>
                </c:pt>
                <c:pt idx="83">
                  <c:v>-22.027239999999978</c:v>
                </c:pt>
                <c:pt idx="84">
                  <c:v>-35.703060000000001</c:v>
                </c:pt>
                <c:pt idx="85">
                  <c:v>-49.378880000000024</c:v>
                </c:pt>
                <c:pt idx="86">
                  <c:v>-63.054700000000018</c:v>
                </c:pt>
                <c:pt idx="87">
                  <c:v>-76.730520000000183</c:v>
                </c:pt>
                <c:pt idx="88">
                  <c:v>-90.406340000000029</c:v>
                </c:pt>
                <c:pt idx="89">
                  <c:v>-104.08216000000004</c:v>
                </c:pt>
                <c:pt idx="90">
                  <c:v>-117.75797999999993</c:v>
                </c:pt>
                <c:pt idx="91">
                  <c:v>-131.43380000000008</c:v>
                </c:pt>
                <c:pt idx="92">
                  <c:v>-145.10962000000006</c:v>
                </c:pt>
                <c:pt idx="93">
                  <c:v>-158.78544000000008</c:v>
                </c:pt>
                <c:pt idx="94">
                  <c:v>-172.46126000000007</c:v>
                </c:pt>
                <c:pt idx="95">
                  <c:v>-186.13707999999997</c:v>
                </c:pt>
                <c:pt idx="96">
                  <c:v>-199.8129000000001</c:v>
                </c:pt>
                <c:pt idx="97">
                  <c:v>-213.48872</c:v>
                </c:pt>
                <c:pt idx="98">
                  <c:v>-227.16453999999996</c:v>
                </c:pt>
                <c:pt idx="99">
                  <c:v>-240.84035999999983</c:v>
                </c:pt>
                <c:pt idx="100">
                  <c:v>-254.51618000000005</c:v>
                </c:pt>
                <c:pt idx="101">
                  <c:v>-268.19200000000006</c:v>
                </c:pt>
                <c:pt idx="102">
                  <c:v>0</c:v>
                </c:pt>
              </c:numCache>
            </c:numRef>
          </c:yVal>
          <c:smooth val="1"/>
          <c:extLst>
            <c:ext xmlns:c16="http://schemas.microsoft.com/office/drawing/2014/chart" uri="{C3380CC4-5D6E-409C-BE32-E72D297353CC}">
              <c16:uniqueId val="{00000001-F68A-4273-9E79-F7C336E7C14D}"/>
            </c:ext>
          </c:extLst>
        </c:ser>
        <c:ser>
          <c:idx val="1"/>
          <c:order val="2"/>
          <c:tx>
            <c:v>NRd Fuß</c:v>
          </c:tx>
          <c:spPr>
            <a:ln w="25400" cap="rnd">
              <a:solidFill>
                <a:schemeClr val="accent2"/>
              </a:solidFill>
              <a:prstDash val="sysDash"/>
              <a:round/>
            </a:ln>
            <a:effectLst/>
          </c:spPr>
          <c:marker>
            <c:symbol val="none"/>
          </c:marker>
          <c:xVal>
            <c:numRef>
              <c:f>Berechnung!$AA$100:$AA$202</c:f>
              <c:numCache>
                <c:formatCode>General</c:formatCode>
                <c:ptCount val="103"/>
                <c:pt idx="0">
                  <c:v>0</c:v>
                </c:pt>
                <c:pt idx="1">
                  <c:v>0</c:v>
                </c:pt>
                <c:pt idx="2">
                  <c:v>1.5961353210000002</c:v>
                </c:pt>
                <c:pt idx="3">
                  <c:v>3.1632792840000001</c:v>
                </c:pt>
                <c:pt idx="4">
                  <c:v>4.7014318890000002</c:v>
                </c:pt>
                <c:pt idx="5">
                  <c:v>6.210593136</c:v>
                </c:pt>
                <c:pt idx="6">
                  <c:v>7.6907630250000016</c:v>
                </c:pt>
                <c:pt idx="7">
                  <c:v>9.141941555999999</c:v>
                </c:pt>
                <c:pt idx="8">
                  <c:v>10.564128729</c:v>
                </c:pt>
                <c:pt idx="9">
                  <c:v>11.957324544</c:v>
                </c:pt>
                <c:pt idx="10">
                  <c:v>13.321529001000002</c:v>
                </c:pt>
                <c:pt idx="11">
                  <c:v>14.656742100000001</c:v>
                </c:pt>
                <c:pt idx="12">
                  <c:v>15.962963841000002</c:v>
                </c:pt>
                <c:pt idx="13">
                  <c:v>17.240194224</c:v>
                </c:pt>
                <c:pt idx="14">
                  <c:v>18.488433249000003</c:v>
                </c:pt>
                <c:pt idx="15">
                  <c:v>19.707680916000001</c:v>
                </c:pt>
                <c:pt idx="16">
                  <c:v>20.897937225000003</c:v>
                </c:pt>
                <c:pt idx="17">
                  <c:v>22.059202175999999</c:v>
                </c:pt>
                <c:pt idx="18">
                  <c:v>23.191475769000004</c:v>
                </c:pt>
                <c:pt idx="19">
                  <c:v>24.294758003999998</c:v>
                </c:pt>
                <c:pt idx="20">
                  <c:v>25.369048881000005</c:v>
                </c:pt>
                <c:pt idx="21">
                  <c:v>26.414348400000002</c:v>
                </c:pt>
                <c:pt idx="22">
                  <c:v>27.430656561000003</c:v>
                </c:pt>
                <c:pt idx="23">
                  <c:v>28.417973364000002</c:v>
                </c:pt>
                <c:pt idx="24">
                  <c:v>29.376298809000005</c:v>
                </c:pt>
                <c:pt idx="25">
                  <c:v>30.305632895999999</c:v>
                </c:pt>
                <c:pt idx="26">
                  <c:v>31.205975625000004</c:v>
                </c:pt>
                <c:pt idx="27">
                  <c:v>32.077326996000004</c:v>
                </c:pt>
                <c:pt idx="28">
                  <c:v>32.919687009</c:v>
                </c:pt>
                <c:pt idx="29">
                  <c:v>33.733055664000005</c:v>
                </c:pt>
                <c:pt idx="30">
                  <c:v>34.517432961000004</c:v>
                </c:pt>
                <c:pt idx="31">
                  <c:v>35.272818899999997</c:v>
                </c:pt>
                <c:pt idx="32">
                  <c:v>35.999213481000005</c:v>
                </c:pt>
                <c:pt idx="33">
                  <c:v>36.696616704</c:v>
                </c:pt>
                <c:pt idx="34">
                  <c:v>37.365028569000003</c:v>
                </c:pt>
                <c:pt idx="35">
                  <c:v>38.004449076</c:v>
                </c:pt>
                <c:pt idx="36">
                  <c:v>38.614878224999998</c:v>
                </c:pt>
                <c:pt idx="37">
                  <c:v>39.196316015999997</c:v>
                </c:pt>
                <c:pt idx="38">
                  <c:v>39.748762449000004</c:v>
                </c:pt>
                <c:pt idx="39">
                  <c:v>40.272217523999998</c:v>
                </c:pt>
                <c:pt idx="40">
                  <c:v>40.766681241000001</c:v>
                </c:pt>
                <c:pt idx="41">
                  <c:v>41.232153600000004</c:v>
                </c:pt>
                <c:pt idx="42">
                  <c:v>41.668634601000008</c:v>
                </c:pt>
                <c:pt idx="43">
                  <c:v>42.076124243999999</c:v>
                </c:pt>
                <c:pt idx="44">
                  <c:v>42.454622528999998</c:v>
                </c:pt>
                <c:pt idx="45">
                  <c:v>42.804129456000005</c:v>
                </c:pt>
                <c:pt idx="46">
                  <c:v>43.124645025000007</c:v>
                </c:pt>
                <c:pt idx="47">
                  <c:v>43.416169236000009</c:v>
                </c:pt>
                <c:pt idx="48">
                  <c:v>43.678702089000005</c:v>
                </c:pt>
                <c:pt idx="49">
                  <c:v>43.912243584000002</c:v>
                </c:pt>
                <c:pt idx="50">
                  <c:v>44.116793721000008</c:v>
                </c:pt>
                <c:pt idx="51">
                  <c:v>44.292352500000007</c:v>
                </c:pt>
                <c:pt idx="52">
                  <c:v>44.438919921</c:v>
                </c:pt>
                <c:pt idx="53">
                  <c:v>44.556495984000001</c:v>
                </c:pt>
                <c:pt idx="54">
                  <c:v>44.645080689000004</c:v>
                </c:pt>
                <c:pt idx="55">
                  <c:v>44.704674036000007</c:v>
                </c:pt>
                <c:pt idx="56">
                  <c:v>44.735276025000005</c:v>
                </c:pt>
                <c:pt idx="57">
                  <c:v>44.736886656000003</c:v>
                </c:pt>
                <c:pt idx="58">
                  <c:v>44.709505929000009</c:v>
                </c:pt>
                <c:pt idx="59">
                  <c:v>44.653133844000003</c:v>
                </c:pt>
                <c:pt idx="60">
                  <c:v>44.567770401000004</c:v>
                </c:pt>
                <c:pt idx="61">
                  <c:v>44.4534156</c:v>
                </c:pt>
                <c:pt idx="62">
                  <c:v>44.31006944100001</c:v>
                </c:pt>
                <c:pt idx="63">
                  <c:v>44.137731924000001</c:v>
                </c:pt>
                <c:pt idx="64">
                  <c:v>43.936403049000006</c:v>
                </c:pt>
                <c:pt idx="65">
                  <c:v>43.706082816000006</c:v>
                </c:pt>
                <c:pt idx="66">
                  <c:v>43.446771225000006</c:v>
                </c:pt>
                <c:pt idx="67">
                  <c:v>43.158468276000001</c:v>
                </c:pt>
                <c:pt idx="68">
                  <c:v>42.84117396900001</c:v>
                </c:pt>
                <c:pt idx="69">
                  <c:v>42.494888304000007</c:v>
                </c:pt>
                <c:pt idx="70">
                  <c:v>42.119611281000012</c:v>
                </c:pt>
                <c:pt idx="71">
                  <c:v>41.715342899999996</c:v>
                </c:pt>
                <c:pt idx="72">
                  <c:v>41.28208316100001</c:v>
                </c:pt>
                <c:pt idx="73">
                  <c:v>40.819832064000003</c:v>
                </c:pt>
                <c:pt idx="74">
                  <c:v>40.328589608999998</c:v>
                </c:pt>
                <c:pt idx="75">
                  <c:v>39.808355796000008</c:v>
                </c:pt>
                <c:pt idx="76">
                  <c:v>39.259130625000004</c:v>
                </c:pt>
                <c:pt idx="77">
                  <c:v>38.680914096000002</c:v>
                </c:pt>
                <c:pt idx="78">
                  <c:v>38.073706209000015</c:v>
                </c:pt>
                <c:pt idx="79">
                  <c:v>37.437506964000015</c:v>
                </c:pt>
                <c:pt idx="80">
                  <c:v>36.772316360999994</c:v>
                </c:pt>
                <c:pt idx="81">
                  <c:v>36.078134400000017</c:v>
                </c:pt>
                <c:pt idx="82">
                  <c:v>35.354961081000006</c:v>
                </c:pt>
                <c:pt idx="83">
                  <c:v>34.602796404000003</c:v>
                </c:pt>
                <c:pt idx="84">
                  <c:v>33.821640369000001</c:v>
                </c:pt>
                <c:pt idx="85">
                  <c:v>33.011492976</c:v>
                </c:pt>
                <c:pt idx="86">
                  <c:v>32.172354225000021</c:v>
                </c:pt>
                <c:pt idx="87">
                  <c:v>31.304224115999993</c:v>
                </c:pt>
                <c:pt idx="88">
                  <c:v>30.407102649000002</c:v>
                </c:pt>
                <c:pt idx="89">
                  <c:v>29.480989824000016</c:v>
                </c:pt>
                <c:pt idx="90">
                  <c:v>28.525885641000002</c:v>
                </c:pt>
                <c:pt idx="91">
                  <c:v>27.541790100000014</c:v>
                </c:pt>
                <c:pt idx="92">
                  <c:v>26.528703201000003</c:v>
                </c:pt>
                <c:pt idx="93">
                  <c:v>25.486624944000017</c:v>
                </c:pt>
                <c:pt idx="94">
                  <c:v>24.415555329000004</c:v>
                </c:pt>
                <c:pt idx="95">
                  <c:v>23.315494356000013</c:v>
                </c:pt>
                <c:pt idx="96">
                  <c:v>22.186442025000026</c:v>
                </c:pt>
                <c:pt idx="97">
                  <c:v>21.028398336000013</c:v>
                </c:pt>
                <c:pt idx="98">
                  <c:v>19.841363289</c:v>
                </c:pt>
                <c:pt idx="99">
                  <c:v>18.625336884000014</c:v>
                </c:pt>
                <c:pt idx="100">
                  <c:v>17.380319120999999</c:v>
                </c:pt>
                <c:pt idx="101">
                  <c:v>16.106310000000015</c:v>
                </c:pt>
                <c:pt idx="102">
                  <c:v>0</c:v>
                </c:pt>
              </c:numCache>
            </c:numRef>
          </c:xVal>
          <c:yVal>
            <c:numRef>
              <c:f>Berechnung!$Y$100:$Y$202</c:f>
              <c:numCache>
                <c:formatCode>General</c:formatCode>
                <c:ptCount val="103"/>
                <c:pt idx="0">
                  <c:v>0</c:v>
                </c:pt>
                <c:pt idx="1">
                  <c:v>0</c:v>
                </c:pt>
                <c:pt idx="2">
                  <c:v>9.7614000000000001</c:v>
                </c:pt>
                <c:pt idx="3">
                  <c:v>19.5228</c:v>
                </c:pt>
                <c:pt idx="4">
                  <c:v>29.284199999999998</c:v>
                </c:pt>
                <c:pt idx="5">
                  <c:v>39.0456</c:v>
                </c:pt>
                <c:pt idx="6">
                  <c:v>48.807000000000002</c:v>
                </c:pt>
                <c:pt idx="7">
                  <c:v>58.568399999999997</c:v>
                </c:pt>
                <c:pt idx="8">
                  <c:v>68.329800000000006</c:v>
                </c:pt>
                <c:pt idx="9">
                  <c:v>78.091200000000001</c:v>
                </c:pt>
                <c:pt idx="10">
                  <c:v>87.852599999999995</c:v>
                </c:pt>
                <c:pt idx="11">
                  <c:v>97.614000000000004</c:v>
                </c:pt>
                <c:pt idx="12">
                  <c:v>107.3754</c:v>
                </c:pt>
                <c:pt idx="13">
                  <c:v>117.13679999999999</c:v>
                </c:pt>
                <c:pt idx="14">
                  <c:v>126.8982</c:v>
                </c:pt>
                <c:pt idx="15">
                  <c:v>136.65960000000001</c:v>
                </c:pt>
                <c:pt idx="16">
                  <c:v>146.42099999999999</c:v>
                </c:pt>
                <c:pt idx="17">
                  <c:v>156.1824</c:v>
                </c:pt>
                <c:pt idx="18">
                  <c:v>165.94380000000001</c:v>
                </c:pt>
                <c:pt idx="19">
                  <c:v>175.70519999999999</c:v>
                </c:pt>
                <c:pt idx="20">
                  <c:v>185.4666</c:v>
                </c:pt>
                <c:pt idx="21">
                  <c:v>195.22800000000001</c:v>
                </c:pt>
                <c:pt idx="22">
                  <c:v>204.98939999999999</c:v>
                </c:pt>
                <c:pt idx="23">
                  <c:v>214.7508</c:v>
                </c:pt>
                <c:pt idx="24">
                  <c:v>224.51220000000001</c:v>
                </c:pt>
                <c:pt idx="25">
                  <c:v>234.27359999999999</c:v>
                </c:pt>
                <c:pt idx="26">
                  <c:v>244.035</c:v>
                </c:pt>
                <c:pt idx="27">
                  <c:v>253.79640000000001</c:v>
                </c:pt>
                <c:pt idx="28">
                  <c:v>263.55779999999999</c:v>
                </c:pt>
                <c:pt idx="29">
                  <c:v>273.31920000000002</c:v>
                </c:pt>
                <c:pt idx="30">
                  <c:v>283.0806</c:v>
                </c:pt>
                <c:pt idx="31">
                  <c:v>292.84199999999998</c:v>
                </c:pt>
                <c:pt idx="32">
                  <c:v>302.60340000000002</c:v>
                </c:pt>
                <c:pt idx="33">
                  <c:v>312.3648</c:v>
                </c:pt>
                <c:pt idx="34">
                  <c:v>322.12619999999998</c:v>
                </c:pt>
                <c:pt idx="35">
                  <c:v>331.88760000000002</c:v>
                </c:pt>
                <c:pt idx="36">
                  <c:v>341.649</c:v>
                </c:pt>
                <c:pt idx="37">
                  <c:v>351.41039999999998</c:v>
                </c:pt>
                <c:pt idx="38">
                  <c:v>361.17180000000002</c:v>
                </c:pt>
                <c:pt idx="39">
                  <c:v>370.9332</c:v>
                </c:pt>
                <c:pt idx="40">
                  <c:v>380.69459999999998</c:v>
                </c:pt>
                <c:pt idx="41">
                  <c:v>390.45600000000002</c:v>
                </c:pt>
                <c:pt idx="42">
                  <c:v>400.2174</c:v>
                </c:pt>
                <c:pt idx="43">
                  <c:v>409.97879999999998</c:v>
                </c:pt>
                <c:pt idx="44">
                  <c:v>419.74020000000002</c:v>
                </c:pt>
                <c:pt idx="45">
                  <c:v>429.5016</c:v>
                </c:pt>
                <c:pt idx="46">
                  <c:v>439.26299999999998</c:v>
                </c:pt>
                <c:pt idx="47">
                  <c:v>449.02440000000001</c:v>
                </c:pt>
                <c:pt idx="48">
                  <c:v>458.78579999999999</c:v>
                </c:pt>
                <c:pt idx="49">
                  <c:v>468.54719999999998</c:v>
                </c:pt>
                <c:pt idx="50">
                  <c:v>478.30860000000001</c:v>
                </c:pt>
                <c:pt idx="51">
                  <c:v>488.07</c:v>
                </c:pt>
                <c:pt idx="52">
                  <c:v>497.83139999999997</c:v>
                </c:pt>
                <c:pt idx="53">
                  <c:v>507.59280000000001</c:v>
                </c:pt>
                <c:pt idx="54">
                  <c:v>517.35419999999999</c:v>
                </c:pt>
                <c:pt idx="55">
                  <c:v>527.11559999999997</c:v>
                </c:pt>
                <c:pt idx="56">
                  <c:v>536.87700000000007</c:v>
                </c:pt>
                <c:pt idx="57">
                  <c:v>546.63840000000005</c:v>
                </c:pt>
                <c:pt idx="58">
                  <c:v>556.39979999999991</c:v>
                </c:pt>
                <c:pt idx="59">
                  <c:v>566.16120000000001</c:v>
                </c:pt>
                <c:pt idx="60">
                  <c:v>575.92259999999999</c:v>
                </c:pt>
                <c:pt idx="61">
                  <c:v>585.68399999999997</c:v>
                </c:pt>
                <c:pt idx="62">
                  <c:v>595.44539999999995</c:v>
                </c:pt>
                <c:pt idx="63">
                  <c:v>605.20680000000004</c:v>
                </c:pt>
                <c:pt idx="64">
                  <c:v>614.96820000000002</c:v>
                </c:pt>
                <c:pt idx="65">
                  <c:v>624.7296</c:v>
                </c:pt>
                <c:pt idx="66">
                  <c:v>634.49099999999999</c:v>
                </c:pt>
                <c:pt idx="67">
                  <c:v>644.25239999999997</c:v>
                </c:pt>
                <c:pt idx="68">
                  <c:v>654.01380000000006</c:v>
                </c:pt>
                <c:pt idx="69">
                  <c:v>663.77520000000004</c:v>
                </c:pt>
                <c:pt idx="70">
                  <c:v>673.53659999999991</c:v>
                </c:pt>
                <c:pt idx="71">
                  <c:v>683.298</c:v>
                </c:pt>
                <c:pt idx="72">
                  <c:v>693.05939999999998</c:v>
                </c:pt>
                <c:pt idx="73">
                  <c:v>702.82079999999996</c:v>
                </c:pt>
                <c:pt idx="74">
                  <c:v>712.58219999999994</c:v>
                </c:pt>
                <c:pt idx="75">
                  <c:v>722.34360000000004</c:v>
                </c:pt>
                <c:pt idx="76">
                  <c:v>732.10500000000002</c:v>
                </c:pt>
                <c:pt idx="77">
                  <c:v>741.8664</c:v>
                </c:pt>
                <c:pt idx="78">
                  <c:v>751.62779999999998</c:v>
                </c:pt>
                <c:pt idx="79">
                  <c:v>761.38919999999996</c:v>
                </c:pt>
                <c:pt idx="80">
                  <c:v>771.15060000000005</c:v>
                </c:pt>
                <c:pt idx="81">
                  <c:v>780.91200000000003</c:v>
                </c:pt>
                <c:pt idx="82">
                  <c:v>790.67340000000002</c:v>
                </c:pt>
                <c:pt idx="83">
                  <c:v>800.4348</c:v>
                </c:pt>
                <c:pt idx="84">
                  <c:v>810.19619999999998</c:v>
                </c:pt>
                <c:pt idx="85">
                  <c:v>819.95759999999996</c:v>
                </c:pt>
                <c:pt idx="86">
                  <c:v>829.71899999999994</c:v>
                </c:pt>
                <c:pt idx="87">
                  <c:v>839.48040000000003</c:v>
                </c:pt>
                <c:pt idx="88">
                  <c:v>849.24180000000001</c:v>
                </c:pt>
                <c:pt idx="89">
                  <c:v>859.00319999999999</c:v>
                </c:pt>
                <c:pt idx="90">
                  <c:v>868.76459999999997</c:v>
                </c:pt>
                <c:pt idx="91">
                  <c:v>878.52599999999995</c:v>
                </c:pt>
                <c:pt idx="92">
                  <c:v>888.28740000000005</c:v>
                </c:pt>
                <c:pt idx="93">
                  <c:v>898.04880000000003</c:v>
                </c:pt>
                <c:pt idx="94">
                  <c:v>907.81020000000001</c:v>
                </c:pt>
                <c:pt idx="95">
                  <c:v>917.57159999999999</c:v>
                </c:pt>
                <c:pt idx="96">
                  <c:v>927.33299999999997</c:v>
                </c:pt>
                <c:pt idx="97">
                  <c:v>937.09439999999995</c:v>
                </c:pt>
                <c:pt idx="98">
                  <c:v>946.85579999999993</c:v>
                </c:pt>
                <c:pt idx="99">
                  <c:v>956.61720000000003</c:v>
                </c:pt>
                <c:pt idx="100">
                  <c:v>966.37860000000001</c:v>
                </c:pt>
                <c:pt idx="101">
                  <c:v>976.14</c:v>
                </c:pt>
                <c:pt idx="102">
                  <c:v>976.14</c:v>
                </c:pt>
              </c:numCache>
            </c:numRef>
          </c:yVal>
          <c:smooth val="1"/>
          <c:extLst>
            <c:ext xmlns:c16="http://schemas.microsoft.com/office/drawing/2014/chart" uri="{C3380CC4-5D6E-409C-BE32-E72D297353CC}">
              <c16:uniqueId val="{00000002-F68A-4273-9E79-F7C336E7C14D}"/>
            </c:ext>
          </c:extLst>
        </c:ser>
        <c:ser>
          <c:idx val="3"/>
          <c:order val="3"/>
          <c:tx>
            <c:v>M/N Kopf</c:v>
          </c:tx>
          <c:spPr>
            <a:ln w="19050" cap="rnd">
              <a:noFill/>
              <a:round/>
            </a:ln>
            <a:effectLst/>
          </c:spPr>
          <c:marker>
            <c:symbol val="star"/>
            <c:size val="8"/>
            <c:spPr>
              <a:noFill/>
              <a:ln w="19050">
                <a:solidFill>
                  <a:schemeClr val="accent1"/>
                </a:solidFill>
              </a:ln>
              <a:effectLst/>
            </c:spPr>
          </c:marker>
          <c:xVal>
            <c:numRef>
              <c:f>Berechnung!$U$96</c:f>
              <c:numCache>
                <c:formatCode>General</c:formatCode>
                <c:ptCount val="1"/>
                <c:pt idx="0">
                  <c:v>7.8458714714964097</c:v>
                </c:pt>
              </c:numCache>
            </c:numRef>
          </c:xVal>
          <c:yVal>
            <c:numRef>
              <c:f>Berechnung!$U$97</c:f>
              <c:numCache>
                <c:formatCode>General</c:formatCode>
                <c:ptCount val="1"/>
                <c:pt idx="0">
                  <c:v>53.846153846153847</c:v>
                </c:pt>
              </c:numCache>
            </c:numRef>
          </c:yVal>
          <c:smooth val="1"/>
          <c:extLst>
            <c:ext xmlns:c16="http://schemas.microsoft.com/office/drawing/2014/chart" uri="{C3380CC4-5D6E-409C-BE32-E72D297353CC}">
              <c16:uniqueId val="{00000003-F68A-4273-9E79-F7C336E7C14D}"/>
            </c:ext>
          </c:extLst>
        </c:ser>
        <c:ser>
          <c:idx val="5"/>
          <c:order val="4"/>
          <c:tx>
            <c:v>M/N Mitte</c:v>
          </c:tx>
          <c:spPr>
            <a:ln w="19050" cap="rnd">
              <a:noFill/>
              <a:round/>
            </a:ln>
            <a:effectLst/>
          </c:spPr>
          <c:marker>
            <c:symbol val="x"/>
            <c:size val="8"/>
            <c:spPr>
              <a:noFill/>
              <a:ln w="19050">
                <a:solidFill>
                  <a:schemeClr val="accent3">
                    <a:lumMod val="75000"/>
                  </a:schemeClr>
                </a:solidFill>
              </a:ln>
              <a:effectLst/>
            </c:spPr>
          </c:marker>
          <c:xVal>
            <c:numRef>
              <c:f>Berechnung!$AC$96</c:f>
              <c:numCache>
                <c:formatCode>General</c:formatCode>
                <c:ptCount val="1"/>
                <c:pt idx="0">
                  <c:v>4.2744839433667492</c:v>
                </c:pt>
              </c:numCache>
            </c:numRef>
          </c:xVal>
          <c:yVal>
            <c:numRef>
              <c:f>Berechnung!$AC$97</c:f>
              <c:numCache>
                <c:formatCode>General</c:formatCode>
                <c:ptCount val="1"/>
                <c:pt idx="0">
                  <c:v>61.956804333653849</c:v>
                </c:pt>
              </c:numCache>
            </c:numRef>
          </c:yVal>
          <c:smooth val="1"/>
          <c:extLst>
            <c:ext xmlns:c16="http://schemas.microsoft.com/office/drawing/2014/chart" uri="{C3380CC4-5D6E-409C-BE32-E72D297353CC}">
              <c16:uniqueId val="{00000004-F68A-4273-9E79-F7C336E7C14D}"/>
            </c:ext>
          </c:extLst>
        </c:ser>
        <c:ser>
          <c:idx val="4"/>
          <c:order val="5"/>
          <c:tx>
            <c:v>M/N Fuß</c:v>
          </c:tx>
          <c:spPr>
            <a:ln w="19050" cap="rnd">
              <a:noFill/>
              <a:round/>
            </a:ln>
            <a:effectLst/>
          </c:spPr>
          <c:marker>
            <c:symbol val="plus"/>
            <c:size val="8"/>
            <c:spPr>
              <a:noFill/>
              <a:ln w="19050">
                <a:solidFill>
                  <a:schemeClr val="accent2"/>
                </a:solidFill>
              </a:ln>
              <a:effectLst/>
            </c:spPr>
          </c:marker>
          <c:xVal>
            <c:numRef>
              <c:f>Berechnung!$Y$96</c:f>
              <c:numCache>
                <c:formatCode>General</c:formatCode>
                <c:ptCount val="1"/>
                <c:pt idx="0">
                  <c:v>5.4027817369698541</c:v>
                </c:pt>
              </c:numCache>
            </c:numRef>
          </c:xVal>
          <c:yVal>
            <c:numRef>
              <c:f>Berechnung!$Y$97</c:f>
              <c:numCache>
                <c:formatCode>General</c:formatCode>
                <c:ptCount val="1"/>
                <c:pt idx="0">
                  <c:v>70.067454821153845</c:v>
                </c:pt>
              </c:numCache>
            </c:numRef>
          </c:yVal>
          <c:smooth val="1"/>
          <c:extLst>
            <c:ext xmlns:c16="http://schemas.microsoft.com/office/drawing/2014/chart" uri="{C3380CC4-5D6E-409C-BE32-E72D297353CC}">
              <c16:uniqueId val="{00000005-F68A-4273-9E79-F7C336E7C14D}"/>
            </c:ext>
          </c:extLst>
        </c:ser>
        <c:dLbls>
          <c:showLegendKey val="0"/>
          <c:showVal val="0"/>
          <c:showCatName val="0"/>
          <c:showSerName val="0"/>
          <c:showPercent val="0"/>
          <c:showBubbleSize val="0"/>
        </c:dLbls>
        <c:axId val="467686616"/>
        <c:axId val="467687400"/>
      </c:scatterChart>
      <c:valAx>
        <c:axId val="467686616"/>
        <c:scaling>
          <c:orientation val="minMax"/>
          <c:min val="0"/>
        </c:scaling>
        <c:delete val="0"/>
        <c:axPos val="b"/>
        <c:title>
          <c:tx>
            <c:rich>
              <a:bodyPr rot="0" spcFirstLastPara="1" vertOverflow="ellipsis" vert="horz" wrap="square" anchor="ctr" anchorCtr="1"/>
              <a:lstStyle/>
              <a:p>
                <a:pPr>
                  <a:defRPr sz="1000" b="0" i="0" u="none" strike="noStrike" kern="1200" baseline="0">
                    <a:ln>
                      <a:noFill/>
                    </a:ln>
                    <a:solidFill>
                      <a:sysClr val="windowText" lastClr="000000"/>
                    </a:solidFill>
                    <a:latin typeface="+mn-lt"/>
                    <a:ea typeface="+mn-ea"/>
                    <a:cs typeface="+mn-cs"/>
                  </a:defRPr>
                </a:pPr>
                <a:r>
                  <a:rPr lang="de-AT" b="1">
                    <a:ln>
                      <a:noFill/>
                    </a:ln>
                    <a:solidFill>
                      <a:sysClr val="windowText" lastClr="000000"/>
                    </a:solidFill>
                  </a:rPr>
                  <a:t>Biegemoment [kNm/m]</a:t>
                </a:r>
              </a:p>
            </c:rich>
          </c:tx>
          <c:layout>
            <c:manualLayout>
              <c:xMode val="edge"/>
              <c:yMode val="edge"/>
              <c:x val="0.23715453004176493"/>
              <c:y val="0.9001975578278566"/>
            </c:manualLayout>
          </c:layout>
          <c:overlay val="0"/>
          <c:spPr>
            <a:noFill/>
            <a:ln>
              <a:noFill/>
            </a:ln>
            <a:effectLst/>
          </c:spPr>
          <c:txPr>
            <a:bodyPr rot="0" spcFirstLastPara="1" vertOverflow="ellipsis" vert="horz" wrap="square" anchor="ctr" anchorCtr="1"/>
            <a:lstStyle/>
            <a:p>
              <a:pPr>
                <a:defRPr sz="1000" b="0" i="0" u="none" strike="noStrike" kern="1200" baseline="0">
                  <a:ln>
                    <a:noFill/>
                  </a:ln>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7400"/>
        <c:crosses val="autoZero"/>
        <c:crossBetween val="midCat"/>
      </c:valAx>
      <c:valAx>
        <c:axId val="467687400"/>
        <c:scaling>
          <c:orientation val="minMax"/>
          <c:min val="0"/>
        </c:scaling>
        <c:delete val="0"/>
        <c:axPos val="l"/>
        <c:majorGridlines>
          <c:spPr>
            <a:ln w="9525" cap="flat" cmpd="sng" algn="ctr">
              <a:solidFill>
                <a:schemeClr val="tx1">
                  <a:lumMod val="50000"/>
                  <a:lumOff val="50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de-AT" b="1">
                    <a:solidFill>
                      <a:sysClr val="windowText" lastClr="000000"/>
                    </a:solidFill>
                  </a:rPr>
                  <a:t>Normalkraft [kN/m]</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6616"/>
        <c:crosses val="autoZero"/>
        <c:crossBetween val="midCat"/>
      </c:valAx>
      <c:spPr>
        <a:noFill/>
        <a:ln>
          <a:noFill/>
        </a:ln>
        <a:effectLst/>
      </c:spPr>
    </c:plotArea>
    <c:legend>
      <c:legendPos val="r"/>
      <c:layout>
        <c:manualLayout>
          <c:xMode val="edge"/>
          <c:yMode val="edge"/>
          <c:x val="0.77345070359045776"/>
          <c:y val="2.5939682068043389E-2"/>
          <c:w val="0.21361413380805722"/>
          <c:h val="0.9363244688753528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374567901234571"/>
        </c:manualLayout>
      </c:layout>
      <c:scatterChart>
        <c:scatterStyle val="lineMarker"/>
        <c:varyColors val="0"/>
        <c:ser>
          <c:idx val="0"/>
          <c:order val="0"/>
          <c:tx>
            <c:strRef>
              <c:f>Berechnung!$T$31</c:f>
              <c:strCache>
                <c:ptCount val="1"/>
                <c:pt idx="0">
                  <c:v>Wand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8E9B-474D-A492-61E68F7DC890}"/>
                </c:ext>
              </c:extLst>
            </c:dLbl>
            <c:dLbl>
              <c:idx val="1"/>
              <c:delete val="1"/>
              <c:extLst>
                <c:ext xmlns:c15="http://schemas.microsoft.com/office/drawing/2012/chart" uri="{CE6537A1-D6FC-4f65-9D91-7224C49458BB}"/>
                <c:ext xmlns:c16="http://schemas.microsoft.com/office/drawing/2014/chart" uri="{C3380CC4-5D6E-409C-BE32-E72D297353CC}">
                  <c16:uniqueId val="{00000001-8E9B-474D-A492-61E68F7DC890}"/>
                </c:ext>
              </c:extLst>
            </c:dLbl>
            <c:dLbl>
              <c:idx val="2"/>
              <c:delete val="1"/>
              <c:extLst>
                <c:ext xmlns:c15="http://schemas.microsoft.com/office/drawing/2012/chart" uri="{CE6537A1-D6FC-4f65-9D91-7224C49458BB}"/>
                <c:ext xmlns:c16="http://schemas.microsoft.com/office/drawing/2014/chart" uri="{C3380CC4-5D6E-409C-BE32-E72D297353CC}">
                  <c16:uniqueId val="{00000002-8E9B-474D-A492-61E68F7DC890}"/>
                </c:ext>
              </c:extLst>
            </c:dLbl>
            <c:dLbl>
              <c:idx val="3"/>
              <c:delete val="1"/>
              <c:extLst>
                <c:ext xmlns:c15="http://schemas.microsoft.com/office/drawing/2012/chart" uri="{CE6537A1-D6FC-4f65-9D91-7224C49458BB}"/>
                <c:ext xmlns:c16="http://schemas.microsoft.com/office/drawing/2014/chart" uri="{C3380CC4-5D6E-409C-BE32-E72D297353CC}">
                  <c16:uniqueId val="{00000003-8E9B-474D-A492-61E68F7DC890}"/>
                </c:ext>
              </c:extLst>
            </c:dLbl>
            <c:dLbl>
              <c:idx val="4"/>
              <c:delete val="1"/>
              <c:extLst>
                <c:ext xmlns:c15="http://schemas.microsoft.com/office/drawing/2012/chart" uri="{CE6537A1-D6FC-4f65-9D91-7224C49458BB}"/>
                <c:ext xmlns:c16="http://schemas.microsoft.com/office/drawing/2014/chart" uri="{C3380CC4-5D6E-409C-BE32-E72D297353CC}">
                  <c16:uniqueId val="{00000004-8E9B-474D-A492-61E68F7DC89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Berechnung!$AE$31:$AJ$31</c:f>
              <c:numCache>
                <c:formatCode>General</c:formatCode>
                <c:ptCount val="6"/>
                <c:pt idx="0">
                  <c:v>2.7</c:v>
                </c:pt>
                <c:pt idx="1">
                  <c:v>2.7</c:v>
                </c:pt>
                <c:pt idx="2">
                  <c:v>-2.7</c:v>
                </c:pt>
                <c:pt idx="3">
                  <c:v>-2.7</c:v>
                </c:pt>
                <c:pt idx="4">
                  <c:v>2.7</c:v>
                </c:pt>
                <c:pt idx="5">
                  <c:v>2.7</c:v>
                </c:pt>
              </c:numCache>
            </c:numRef>
          </c:xVal>
          <c:yVal>
            <c:numRef>
              <c:f>Berechnung!$V$32:$AA$32</c:f>
              <c:numCache>
                <c:formatCode>General</c:formatCode>
                <c:ptCount val="6"/>
                <c:pt idx="0">
                  <c:v>0</c:v>
                </c:pt>
                <c:pt idx="1">
                  <c:v>3</c:v>
                </c:pt>
                <c:pt idx="2">
                  <c:v>3</c:v>
                </c:pt>
                <c:pt idx="3">
                  <c:v>0</c:v>
                </c:pt>
                <c:pt idx="4">
                  <c:v>0</c:v>
                </c:pt>
                <c:pt idx="5">
                  <c:v>1.5</c:v>
                </c:pt>
              </c:numCache>
            </c:numRef>
          </c:yVal>
          <c:smooth val="0"/>
          <c:extLst>
            <c:ext xmlns:c16="http://schemas.microsoft.com/office/drawing/2014/chart" uri="{C3380CC4-5D6E-409C-BE32-E72D297353CC}">
              <c16:uniqueId val="{00000005-8E9B-474D-A492-61E68F7DC890}"/>
            </c:ext>
          </c:extLst>
        </c:ser>
        <c:ser>
          <c:idx val="1"/>
          <c:order val="1"/>
          <c:tx>
            <c:strRef>
              <c:f>Berechnung!$T$33</c:f>
              <c:strCache>
                <c:ptCount val="1"/>
                <c:pt idx="0">
                  <c:v>Wand 2</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8E9B-474D-A492-61E68F7DC890}"/>
                </c:ext>
              </c:extLst>
            </c:dLbl>
            <c:dLbl>
              <c:idx val="1"/>
              <c:delete val="1"/>
              <c:extLst>
                <c:ext xmlns:c15="http://schemas.microsoft.com/office/drawing/2012/chart" uri="{CE6537A1-D6FC-4f65-9D91-7224C49458BB}"/>
                <c:ext xmlns:c16="http://schemas.microsoft.com/office/drawing/2014/chart" uri="{C3380CC4-5D6E-409C-BE32-E72D297353CC}">
                  <c16:uniqueId val="{00000007-8E9B-474D-A492-61E68F7DC890}"/>
                </c:ext>
              </c:extLst>
            </c:dLbl>
            <c:dLbl>
              <c:idx val="2"/>
              <c:delete val="1"/>
              <c:extLst>
                <c:ext xmlns:c15="http://schemas.microsoft.com/office/drawing/2012/chart" uri="{CE6537A1-D6FC-4f65-9D91-7224C49458BB}"/>
                <c:ext xmlns:c16="http://schemas.microsoft.com/office/drawing/2014/chart" uri="{C3380CC4-5D6E-409C-BE32-E72D297353CC}">
                  <c16:uniqueId val="{00000008-8E9B-474D-A492-61E68F7DC890}"/>
                </c:ext>
              </c:extLst>
            </c:dLbl>
            <c:dLbl>
              <c:idx val="3"/>
              <c:delete val="1"/>
              <c:extLst>
                <c:ext xmlns:c15="http://schemas.microsoft.com/office/drawing/2012/chart" uri="{CE6537A1-D6FC-4f65-9D91-7224C49458BB}"/>
                <c:ext xmlns:c16="http://schemas.microsoft.com/office/drawing/2014/chart" uri="{C3380CC4-5D6E-409C-BE32-E72D297353CC}">
                  <c16:uniqueId val="{00000009-8E9B-474D-A492-61E68F7DC890}"/>
                </c:ext>
              </c:extLst>
            </c:dLbl>
            <c:dLbl>
              <c:idx val="4"/>
              <c:delete val="1"/>
              <c:extLst>
                <c:ext xmlns:c15="http://schemas.microsoft.com/office/drawing/2012/chart" uri="{CE6537A1-D6FC-4f65-9D91-7224C49458BB}"/>
                <c:ext xmlns:c16="http://schemas.microsoft.com/office/drawing/2014/chart" uri="{C3380CC4-5D6E-409C-BE32-E72D297353CC}">
                  <c16:uniqueId val="{0000000A-8E9B-474D-A492-61E68F7DC890}"/>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Berechnung!$AE$33:$AJ$33</c:f>
              <c:numCache>
                <c:formatCode>General</c:formatCode>
                <c:ptCount val="6"/>
                <c:pt idx="0">
                  <c:v>0.65</c:v>
                </c:pt>
                <c:pt idx="1">
                  <c:v>0.65</c:v>
                </c:pt>
                <c:pt idx="2">
                  <c:v>-0.65</c:v>
                </c:pt>
                <c:pt idx="3">
                  <c:v>-0.65</c:v>
                </c:pt>
                <c:pt idx="4">
                  <c:v>0.65</c:v>
                </c:pt>
                <c:pt idx="5">
                  <c:v>0.65</c:v>
                </c:pt>
              </c:numCache>
            </c:numRef>
          </c:xVal>
          <c:yVal>
            <c:numRef>
              <c:f>Berechnung!$V$34:$AA$34</c:f>
              <c:numCache>
                <c:formatCode>General</c:formatCode>
                <c:ptCount val="6"/>
                <c:pt idx="0">
                  <c:v>3.22</c:v>
                </c:pt>
                <c:pt idx="1">
                  <c:v>6.62</c:v>
                </c:pt>
                <c:pt idx="2">
                  <c:v>6.62</c:v>
                </c:pt>
                <c:pt idx="3">
                  <c:v>3.22</c:v>
                </c:pt>
                <c:pt idx="4">
                  <c:v>3.22</c:v>
                </c:pt>
                <c:pt idx="5">
                  <c:v>4.92</c:v>
                </c:pt>
              </c:numCache>
            </c:numRef>
          </c:yVal>
          <c:smooth val="0"/>
          <c:extLst>
            <c:ext xmlns:c16="http://schemas.microsoft.com/office/drawing/2014/chart" uri="{C3380CC4-5D6E-409C-BE32-E72D297353CC}">
              <c16:uniqueId val="{0000000B-8E9B-474D-A492-61E68F7DC890}"/>
            </c:ext>
          </c:extLst>
        </c:ser>
        <c:ser>
          <c:idx val="2"/>
          <c:order val="2"/>
          <c:tx>
            <c:strRef>
              <c:f>Berechnung!$T$35</c:f>
              <c:strCache>
                <c:ptCount val="1"/>
                <c:pt idx="0">
                  <c:v>Wand 3</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8E9B-474D-A492-61E68F7DC890}"/>
                </c:ext>
              </c:extLst>
            </c:dLbl>
            <c:dLbl>
              <c:idx val="1"/>
              <c:delete val="1"/>
              <c:extLst>
                <c:ext xmlns:c15="http://schemas.microsoft.com/office/drawing/2012/chart" uri="{CE6537A1-D6FC-4f65-9D91-7224C49458BB}"/>
                <c:ext xmlns:c16="http://schemas.microsoft.com/office/drawing/2014/chart" uri="{C3380CC4-5D6E-409C-BE32-E72D297353CC}">
                  <c16:uniqueId val="{0000000D-8E9B-474D-A492-61E68F7DC890}"/>
                </c:ext>
              </c:extLst>
            </c:dLbl>
            <c:dLbl>
              <c:idx val="2"/>
              <c:delete val="1"/>
              <c:extLst>
                <c:ext xmlns:c15="http://schemas.microsoft.com/office/drawing/2012/chart" uri="{CE6537A1-D6FC-4f65-9D91-7224C49458BB}"/>
                <c:ext xmlns:c16="http://schemas.microsoft.com/office/drawing/2014/chart" uri="{C3380CC4-5D6E-409C-BE32-E72D297353CC}">
                  <c16:uniqueId val="{0000000E-8E9B-474D-A492-61E68F7DC890}"/>
                </c:ext>
              </c:extLst>
            </c:dLbl>
            <c:dLbl>
              <c:idx val="3"/>
              <c:delete val="1"/>
              <c:extLst>
                <c:ext xmlns:c15="http://schemas.microsoft.com/office/drawing/2012/chart" uri="{CE6537A1-D6FC-4f65-9D91-7224C49458BB}"/>
                <c:ext xmlns:c16="http://schemas.microsoft.com/office/drawing/2014/chart" uri="{C3380CC4-5D6E-409C-BE32-E72D297353CC}">
                  <c16:uniqueId val="{0000000F-8E9B-474D-A492-61E68F7DC890}"/>
                </c:ext>
              </c:extLst>
            </c:dLbl>
            <c:dLbl>
              <c:idx val="4"/>
              <c:delete val="1"/>
              <c:extLst>
                <c:ext xmlns:c15="http://schemas.microsoft.com/office/drawing/2012/chart" uri="{CE6537A1-D6FC-4f65-9D91-7224C49458BB}"/>
                <c:ext xmlns:c16="http://schemas.microsoft.com/office/drawing/2014/chart" uri="{C3380CC4-5D6E-409C-BE32-E72D297353CC}">
                  <c16:uniqueId val="{00000010-8E9B-474D-A492-61E68F7DC89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Berechnung!$AE$35:$AJ$35</c:f>
              <c:numCache>
                <c:formatCode>General</c:formatCode>
                <c:ptCount val="6"/>
                <c:pt idx="0">
                  <c:v>0.65</c:v>
                </c:pt>
                <c:pt idx="1">
                  <c:v>0.65</c:v>
                </c:pt>
                <c:pt idx="2">
                  <c:v>-0.65</c:v>
                </c:pt>
                <c:pt idx="3">
                  <c:v>-0.65</c:v>
                </c:pt>
                <c:pt idx="4">
                  <c:v>0.65</c:v>
                </c:pt>
                <c:pt idx="5">
                  <c:v>0.65</c:v>
                </c:pt>
              </c:numCache>
            </c:numRef>
          </c:xVal>
          <c:yVal>
            <c:numRef>
              <c:f>Berechnung!$V$36:$AA$36</c:f>
              <c:numCache>
                <c:formatCode>General</c:formatCode>
                <c:ptCount val="6"/>
                <c:pt idx="0">
                  <c:v>6.84</c:v>
                </c:pt>
                <c:pt idx="1">
                  <c:v>10.24</c:v>
                </c:pt>
                <c:pt idx="2">
                  <c:v>10.24</c:v>
                </c:pt>
                <c:pt idx="3">
                  <c:v>6.84</c:v>
                </c:pt>
                <c:pt idx="4">
                  <c:v>6.84</c:v>
                </c:pt>
                <c:pt idx="5">
                  <c:v>8.5399999999999991</c:v>
                </c:pt>
              </c:numCache>
            </c:numRef>
          </c:yVal>
          <c:smooth val="0"/>
          <c:extLst>
            <c:ext xmlns:c16="http://schemas.microsoft.com/office/drawing/2014/chart" uri="{C3380CC4-5D6E-409C-BE32-E72D297353CC}">
              <c16:uniqueId val="{00000011-8E9B-474D-A492-61E68F7DC890}"/>
            </c:ext>
          </c:extLst>
        </c:ser>
        <c:ser>
          <c:idx val="3"/>
          <c:order val="3"/>
          <c:tx>
            <c:strRef>
              <c:f>Berechnung!$T$38</c:f>
              <c:strCache>
                <c:ptCount val="1"/>
                <c:pt idx="0">
                  <c:v>Decke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2-8E9B-474D-A492-61E68F7DC890}"/>
                </c:ext>
              </c:extLst>
            </c:dLbl>
            <c:dLbl>
              <c:idx val="1"/>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8E9B-474D-A492-61E68F7DC890}"/>
                </c:ext>
              </c:extLst>
            </c:dLbl>
            <c:dLbl>
              <c:idx val="2"/>
              <c:delete val="1"/>
              <c:extLst>
                <c:ext xmlns:c15="http://schemas.microsoft.com/office/drawing/2012/chart" uri="{CE6537A1-D6FC-4f65-9D91-7224C49458BB}"/>
                <c:ext xmlns:c16="http://schemas.microsoft.com/office/drawing/2014/chart" uri="{C3380CC4-5D6E-409C-BE32-E72D297353CC}">
                  <c16:uniqueId val="{00000014-8E9B-474D-A492-61E68F7DC890}"/>
                </c:ext>
              </c:extLst>
            </c:dLbl>
            <c:dLbl>
              <c:idx val="3"/>
              <c:delete val="1"/>
              <c:extLst>
                <c:ext xmlns:c15="http://schemas.microsoft.com/office/drawing/2012/chart" uri="{CE6537A1-D6FC-4f65-9D91-7224C49458BB}"/>
                <c:ext xmlns:c16="http://schemas.microsoft.com/office/drawing/2014/chart" uri="{C3380CC4-5D6E-409C-BE32-E72D297353CC}">
                  <c16:uniqueId val="{00000015-8E9B-474D-A492-61E68F7DC890}"/>
                </c:ext>
              </c:extLst>
            </c:dLbl>
            <c:dLbl>
              <c:idx val="4"/>
              <c:delete val="1"/>
              <c:extLst>
                <c:ext xmlns:c15="http://schemas.microsoft.com/office/drawing/2012/chart" uri="{CE6537A1-D6FC-4f65-9D91-7224C49458BB}"/>
                <c:ext xmlns:c16="http://schemas.microsoft.com/office/drawing/2014/chart" uri="{C3380CC4-5D6E-409C-BE32-E72D297353CC}">
                  <c16:uniqueId val="{00000016-8E9B-474D-A492-61E68F7DC890}"/>
                </c:ext>
              </c:extLst>
            </c:dLbl>
            <c:dLbl>
              <c:idx val="5"/>
              <c:delete val="1"/>
              <c:extLst>
                <c:ext xmlns:c15="http://schemas.microsoft.com/office/drawing/2012/chart" uri="{CE6537A1-D6FC-4f65-9D91-7224C49458BB}"/>
                <c:ext xmlns:c16="http://schemas.microsoft.com/office/drawing/2014/chart" uri="{C3380CC4-5D6E-409C-BE32-E72D297353CC}">
                  <c16:uniqueId val="{00000001-B790-4927-876E-6DD25953132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Berechnung!$AE$38:$AJ$38</c:f>
              <c:numCache>
                <c:formatCode>General</c:formatCode>
                <c:ptCount val="6"/>
                <c:pt idx="0">
                  <c:v>-2.7</c:v>
                </c:pt>
                <c:pt idx="1">
                  <c:v>2.7</c:v>
                </c:pt>
                <c:pt idx="2">
                  <c:v>2.7</c:v>
                </c:pt>
                <c:pt idx="3">
                  <c:v>-2.7</c:v>
                </c:pt>
                <c:pt idx="4">
                  <c:v>-2.7</c:v>
                </c:pt>
                <c:pt idx="5">
                  <c:v>1.35</c:v>
                </c:pt>
              </c:numCache>
            </c:numRef>
          </c:xVal>
          <c:yVal>
            <c:numRef>
              <c:f>Berechnung!$AE$39:$AJ$39</c:f>
              <c:numCache>
                <c:formatCode>General</c:formatCode>
                <c:ptCount val="6"/>
                <c:pt idx="0">
                  <c:v>3</c:v>
                </c:pt>
                <c:pt idx="1">
                  <c:v>3</c:v>
                </c:pt>
                <c:pt idx="2">
                  <c:v>3.22</c:v>
                </c:pt>
                <c:pt idx="3">
                  <c:v>3.22</c:v>
                </c:pt>
                <c:pt idx="4">
                  <c:v>3</c:v>
                </c:pt>
                <c:pt idx="5">
                  <c:v>3</c:v>
                </c:pt>
              </c:numCache>
            </c:numRef>
          </c:yVal>
          <c:smooth val="0"/>
          <c:extLst>
            <c:ext xmlns:c16="http://schemas.microsoft.com/office/drawing/2014/chart" uri="{C3380CC4-5D6E-409C-BE32-E72D297353CC}">
              <c16:uniqueId val="{00000017-8E9B-474D-A492-61E68F7DC890}"/>
            </c:ext>
          </c:extLst>
        </c:ser>
        <c:ser>
          <c:idx val="4"/>
          <c:order val="4"/>
          <c:tx>
            <c:strRef>
              <c:f>Berechnung!$T$40</c:f>
              <c:strCache>
                <c:ptCount val="1"/>
                <c:pt idx="0">
                  <c:v>Decke 2</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8-8E9B-474D-A492-61E68F7DC890}"/>
                </c:ext>
              </c:extLst>
            </c:dLbl>
            <c:dLbl>
              <c:idx val="1"/>
              <c:delete val="1"/>
              <c:extLst>
                <c:ext xmlns:c15="http://schemas.microsoft.com/office/drawing/2012/chart" uri="{CE6537A1-D6FC-4f65-9D91-7224C49458BB}"/>
                <c:ext xmlns:c16="http://schemas.microsoft.com/office/drawing/2014/chart" uri="{C3380CC4-5D6E-409C-BE32-E72D297353CC}">
                  <c16:uniqueId val="{00000019-8E9B-474D-A492-61E68F7DC890}"/>
                </c:ext>
              </c:extLst>
            </c:dLbl>
            <c:dLbl>
              <c:idx val="2"/>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A-8E9B-474D-A492-61E68F7DC890}"/>
                </c:ext>
              </c:extLst>
            </c:dLbl>
            <c:dLbl>
              <c:idx val="3"/>
              <c:delete val="1"/>
              <c:extLst>
                <c:ext xmlns:c15="http://schemas.microsoft.com/office/drawing/2012/chart" uri="{CE6537A1-D6FC-4f65-9D91-7224C49458BB}"/>
                <c:ext xmlns:c16="http://schemas.microsoft.com/office/drawing/2014/chart" uri="{C3380CC4-5D6E-409C-BE32-E72D297353CC}">
                  <c16:uniqueId val="{0000001B-8E9B-474D-A492-61E68F7DC890}"/>
                </c:ext>
              </c:extLst>
            </c:dLbl>
            <c:dLbl>
              <c:idx val="4"/>
              <c:delete val="1"/>
              <c:extLst>
                <c:ext xmlns:c15="http://schemas.microsoft.com/office/drawing/2012/chart" uri="{CE6537A1-D6FC-4f65-9D91-7224C49458BB}"/>
                <c:ext xmlns:c16="http://schemas.microsoft.com/office/drawing/2014/chart" uri="{C3380CC4-5D6E-409C-BE32-E72D297353CC}">
                  <c16:uniqueId val="{0000001C-8E9B-474D-A492-61E68F7DC890}"/>
                </c:ext>
              </c:extLst>
            </c:dLbl>
            <c:dLbl>
              <c:idx val="5"/>
              <c:delete val="1"/>
              <c:extLst>
                <c:ext xmlns:c15="http://schemas.microsoft.com/office/drawing/2012/chart" uri="{CE6537A1-D6FC-4f65-9D91-7224C49458BB}"/>
                <c:ext xmlns:c16="http://schemas.microsoft.com/office/drawing/2014/chart" uri="{C3380CC4-5D6E-409C-BE32-E72D297353CC}">
                  <c16:uniqueId val="{00000000-B790-4927-876E-6DD25953132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Berechnung!$AE$40:$AJ$40</c:f>
              <c:numCache>
                <c:formatCode>General</c:formatCode>
                <c:ptCount val="6"/>
                <c:pt idx="0">
                  <c:v>-1.35</c:v>
                </c:pt>
                <c:pt idx="1">
                  <c:v>1.35</c:v>
                </c:pt>
                <c:pt idx="2">
                  <c:v>1.35</c:v>
                </c:pt>
                <c:pt idx="3">
                  <c:v>-1.35</c:v>
                </c:pt>
                <c:pt idx="4">
                  <c:v>-1.35</c:v>
                </c:pt>
                <c:pt idx="5">
                  <c:v>0.32500000000000001</c:v>
                </c:pt>
              </c:numCache>
            </c:numRef>
          </c:xVal>
          <c:yVal>
            <c:numRef>
              <c:f>Berechnung!$AE$41:$AJ$41</c:f>
              <c:numCache>
                <c:formatCode>General</c:formatCode>
                <c:ptCount val="6"/>
                <c:pt idx="0">
                  <c:v>6.62</c:v>
                </c:pt>
                <c:pt idx="1">
                  <c:v>6.62</c:v>
                </c:pt>
                <c:pt idx="2">
                  <c:v>6.84</c:v>
                </c:pt>
                <c:pt idx="3">
                  <c:v>6.84</c:v>
                </c:pt>
                <c:pt idx="4">
                  <c:v>6.62</c:v>
                </c:pt>
                <c:pt idx="5">
                  <c:v>6.62</c:v>
                </c:pt>
              </c:numCache>
            </c:numRef>
          </c:yVal>
          <c:smooth val="0"/>
          <c:extLst>
            <c:ext xmlns:c16="http://schemas.microsoft.com/office/drawing/2014/chart" uri="{C3380CC4-5D6E-409C-BE32-E72D297353CC}">
              <c16:uniqueId val="{0000001E-8E9B-474D-A492-61E68F7DC890}"/>
            </c:ext>
          </c:extLst>
        </c:ser>
        <c:ser>
          <c:idx val="11"/>
          <c:order val="5"/>
          <c:tx>
            <c:strRef>
              <c:f>Berechnung!$T$46</c:f>
              <c:strCache>
                <c:ptCount val="1"/>
                <c:pt idx="0">
                  <c:v>Outline</c:v>
                </c:pt>
              </c:strCache>
            </c:strRef>
          </c:tx>
          <c:spPr>
            <a:ln w="19050" cap="rnd">
              <a:noFill/>
              <a:round/>
            </a:ln>
            <a:effectLst/>
          </c:spPr>
          <c:marker>
            <c:symbol val="none"/>
          </c:marker>
          <c:dLbls>
            <c:delete val="1"/>
          </c:dLbls>
          <c:xVal>
            <c:numRef>
              <c:f>Berechnung!$AE$46:$AF$46</c:f>
              <c:numCache>
                <c:formatCode>General</c:formatCode>
                <c:ptCount val="2"/>
                <c:pt idx="0">
                  <c:v>11.264000000000001</c:v>
                </c:pt>
                <c:pt idx="1">
                  <c:v>-11.264000000000001</c:v>
                </c:pt>
              </c:numCache>
            </c:numRef>
          </c:xVal>
          <c:yVal>
            <c:numRef>
              <c:f>Berechnung!$AE$47:$AF$47</c:f>
              <c:numCache>
                <c:formatCode>General</c:formatCode>
                <c:ptCount val="2"/>
                <c:pt idx="0">
                  <c:v>11.264000000000001</c:v>
                </c:pt>
                <c:pt idx="1">
                  <c:v>11.264000000000001</c:v>
                </c:pt>
              </c:numCache>
            </c:numRef>
          </c:yVal>
          <c:smooth val="0"/>
          <c:extLst>
            <c:ext xmlns:c16="http://schemas.microsoft.com/office/drawing/2014/chart" uri="{C3380CC4-5D6E-409C-BE32-E72D297353CC}">
              <c16:uniqueId val="{0000001F-8E9B-474D-A492-61E68F7DC890}"/>
            </c:ext>
          </c:extLst>
        </c:ser>
        <c:ser>
          <c:idx val="5"/>
          <c:order val="6"/>
          <c:tx>
            <c:strRef>
              <c:f>Berechnung!$AD$50</c:f>
              <c:strCache>
                <c:ptCount val="1"/>
                <c:pt idx="0">
                  <c:v>Fixed edges</c:v>
                </c:pt>
              </c:strCache>
            </c:strRef>
          </c:tx>
          <c:spPr>
            <a:ln w="34925" cap="rnd">
              <a:solidFill>
                <a:srgbClr val="C00000"/>
              </a:solidFill>
              <a:prstDash val="sysDash"/>
              <a:round/>
            </a:ln>
            <a:effectLst/>
          </c:spPr>
          <c:marker>
            <c:symbol val="none"/>
          </c:marker>
          <c:dLbls>
            <c:delete val="1"/>
          </c:dLbls>
          <c:xVal>
            <c:numRef>
              <c:f>Berechnung!$AE$51:$AF$51</c:f>
              <c:numCache>
                <c:formatCode>General</c:formatCode>
                <c:ptCount val="2"/>
                <c:pt idx="0">
                  <c:v>0</c:v>
                </c:pt>
                <c:pt idx="1">
                  <c:v>0</c:v>
                </c:pt>
              </c:numCache>
            </c:numRef>
          </c:xVal>
          <c:yVal>
            <c:numRef>
              <c:f>Berechnung!$AE$52:$AF$52</c:f>
              <c:numCache>
                <c:formatCode>General</c:formatCode>
                <c:ptCount val="2"/>
                <c:pt idx="0">
                  <c:v>0</c:v>
                </c:pt>
                <c:pt idx="1">
                  <c:v>0</c:v>
                </c:pt>
              </c:numCache>
            </c:numRef>
          </c:yVal>
          <c:smooth val="0"/>
          <c:extLst>
            <c:ext xmlns:c16="http://schemas.microsoft.com/office/drawing/2014/chart" uri="{C3380CC4-5D6E-409C-BE32-E72D297353CC}">
              <c16:uniqueId val="{00000000-C8D7-45F1-9DE1-CCAC15E47D85}"/>
            </c:ext>
          </c:extLst>
        </c:ser>
        <c:ser>
          <c:idx val="6"/>
          <c:order val="7"/>
          <c:tx>
            <c:strRef>
              <c:f>Berechnung!$AD$50</c:f>
              <c:strCache>
                <c:ptCount val="1"/>
                <c:pt idx="0">
                  <c:v>Fixed edges</c:v>
                </c:pt>
              </c:strCache>
            </c:strRef>
          </c:tx>
          <c:spPr>
            <a:ln w="34925" cap="rnd">
              <a:solidFill>
                <a:srgbClr val="C00000"/>
              </a:solidFill>
              <a:prstDash val="sysDash"/>
              <a:round/>
            </a:ln>
            <a:effectLst/>
          </c:spPr>
          <c:marker>
            <c:symbol val="none"/>
          </c:marker>
          <c:dLbls>
            <c:delete val="1"/>
          </c:dLbls>
          <c:xVal>
            <c:numRef>
              <c:f>Berechnung!$AE$53:$AF$53</c:f>
              <c:numCache>
                <c:formatCode>General</c:formatCode>
                <c:ptCount val="2"/>
                <c:pt idx="0">
                  <c:v>0</c:v>
                </c:pt>
                <c:pt idx="1">
                  <c:v>0</c:v>
                </c:pt>
              </c:numCache>
            </c:numRef>
          </c:xVal>
          <c:yVal>
            <c:numRef>
              <c:f>Berechnung!$AE$54:$AF$54</c:f>
              <c:numCache>
                <c:formatCode>General</c:formatCode>
                <c:ptCount val="2"/>
                <c:pt idx="0">
                  <c:v>0</c:v>
                </c:pt>
                <c:pt idx="1">
                  <c:v>0</c:v>
                </c:pt>
              </c:numCache>
            </c:numRef>
          </c:yVal>
          <c:smooth val="0"/>
          <c:extLst>
            <c:ext xmlns:c16="http://schemas.microsoft.com/office/drawing/2014/chart" uri="{C3380CC4-5D6E-409C-BE32-E72D297353CC}">
              <c16:uniqueId val="{00000001-C8D7-45F1-9DE1-CCAC15E47D85}"/>
            </c:ext>
          </c:extLst>
        </c:ser>
        <c:dLbls>
          <c:showLegendKey val="0"/>
          <c:showVal val="1"/>
          <c:showCatName val="0"/>
          <c:showSerName val="0"/>
          <c:showPercent val="0"/>
          <c:showBubbleSize val="0"/>
        </c:dLbls>
        <c:axId val="471502576"/>
        <c:axId val="471506104"/>
      </c:scatterChart>
      <c:valAx>
        <c:axId val="471502576"/>
        <c:scaling>
          <c:orientation val="minMax"/>
        </c:scaling>
        <c:delete val="0"/>
        <c:axPos val="b"/>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6104"/>
        <c:crosses val="autoZero"/>
        <c:crossBetween val="midCat"/>
        <c:majorUnit val="2"/>
      </c:valAx>
      <c:valAx>
        <c:axId val="471506104"/>
        <c:scaling>
          <c:orientation val="minMax"/>
          <c:min val="0"/>
        </c:scaling>
        <c:delete val="0"/>
        <c:axPos val="l"/>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2576"/>
        <c:crosses val="autoZero"/>
        <c:crossBetween val="midCat"/>
        <c:majorUnit val="2"/>
      </c:valAx>
      <c:spPr>
        <a:noFill/>
        <a:ln w="25400">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645138888888887E-2"/>
          <c:y val="4.8506944444444443E-2"/>
          <c:w val="0.87078402777777775"/>
          <c:h val="0.77683159722222206"/>
        </c:manualLayout>
      </c:layout>
      <c:scatterChart>
        <c:scatterStyle val="lineMarker"/>
        <c:varyColors val="0"/>
        <c:ser>
          <c:idx val="1"/>
          <c:order val="0"/>
          <c:tx>
            <c:strRef>
              <c:f>Berechnung!$X$80</c:f>
              <c:strCache>
                <c:ptCount val="1"/>
                <c:pt idx="0">
                  <c:v>Outline</c:v>
                </c:pt>
              </c:strCache>
            </c:strRef>
          </c:tx>
          <c:spPr>
            <a:ln w="25400" cap="rnd">
              <a:noFill/>
              <a:round/>
            </a:ln>
            <a:effectLst/>
          </c:spPr>
          <c:marker>
            <c:symbol val="none"/>
          </c:marker>
          <c:xVal>
            <c:numRef>
              <c:f>Berechnung!$Z$80:$AA$80</c:f>
              <c:numCache>
                <c:formatCode>0.00</c:formatCode>
                <c:ptCount val="2"/>
                <c:pt idx="0">
                  <c:v>1.7256634615384614</c:v>
                </c:pt>
                <c:pt idx="1">
                  <c:v>-1.7256634615384614</c:v>
                </c:pt>
              </c:numCache>
            </c:numRef>
          </c:xVal>
          <c:yVal>
            <c:numRef>
              <c:f>Berechnung!$Z$81:$AA$81</c:f>
              <c:numCache>
                <c:formatCode>0.00</c:formatCode>
                <c:ptCount val="2"/>
                <c:pt idx="0">
                  <c:v>3.4</c:v>
                </c:pt>
                <c:pt idx="1">
                  <c:v>3.4</c:v>
                </c:pt>
              </c:numCache>
            </c:numRef>
          </c:yVal>
          <c:smooth val="0"/>
          <c:extLst>
            <c:ext xmlns:c16="http://schemas.microsoft.com/office/drawing/2014/chart" uri="{C3380CC4-5D6E-409C-BE32-E72D297353CC}">
              <c16:uniqueId val="{00000000-0AA3-43D8-9C47-594ACC69F319}"/>
            </c:ext>
          </c:extLst>
        </c:ser>
        <c:ser>
          <c:idx val="2"/>
          <c:order val="1"/>
          <c:tx>
            <c:strRef>
              <c:f>Berechnung!$T$70</c:f>
              <c:strCache>
                <c:ptCount val="1"/>
                <c:pt idx="0">
                  <c:v>Wall</c:v>
                </c:pt>
              </c:strCache>
            </c:strRef>
          </c:tx>
          <c:spPr>
            <a:ln w="19050" cap="rnd">
              <a:solidFill>
                <a:sysClr val="windowText" lastClr="000000"/>
              </a:solidFill>
              <a:round/>
            </a:ln>
            <a:effectLst/>
          </c:spPr>
          <c:marker>
            <c:symbol val="none"/>
          </c:marker>
          <c:xVal>
            <c:numRef>
              <c:f>Berechnung!$V$70:$W$70</c:f>
              <c:numCache>
                <c:formatCode>0.00</c:formatCode>
                <c:ptCount val="2"/>
                <c:pt idx="0">
                  <c:v>0</c:v>
                </c:pt>
                <c:pt idx="1">
                  <c:v>0</c:v>
                </c:pt>
              </c:numCache>
            </c:numRef>
          </c:xVal>
          <c:yVal>
            <c:numRef>
              <c:f>Berechnung!$V$71:$W$71</c:f>
              <c:numCache>
                <c:formatCode>0.00</c:formatCode>
                <c:ptCount val="2"/>
                <c:pt idx="0">
                  <c:v>0</c:v>
                </c:pt>
                <c:pt idx="1">
                  <c:v>3.4</c:v>
                </c:pt>
              </c:numCache>
            </c:numRef>
          </c:yVal>
          <c:smooth val="0"/>
          <c:extLst>
            <c:ext xmlns:c16="http://schemas.microsoft.com/office/drawing/2014/chart" uri="{C3380CC4-5D6E-409C-BE32-E72D297353CC}">
              <c16:uniqueId val="{00000001-0AA3-43D8-9C47-594ACC69F319}"/>
            </c:ext>
          </c:extLst>
        </c:ser>
        <c:ser>
          <c:idx val="0"/>
          <c:order val="2"/>
          <c:tx>
            <c:strRef>
              <c:f>Berechnung!$T$63</c:f>
              <c:strCache>
                <c:ptCount val="1"/>
                <c:pt idx="0">
                  <c:v>Slab rotation</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6-7071-4053-9175-1B138BF0C38D}"/>
                </c:ext>
              </c:extLst>
            </c:dLbl>
            <c:dLbl>
              <c:idx val="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extLst>
                <c:ext xmlns:c16="http://schemas.microsoft.com/office/drawing/2014/chart" uri="{C3380CC4-5D6E-409C-BE32-E72D297353CC}">
                  <c16:uniqueId val="{00000000-5C1D-4474-84D7-4823F1638E36}"/>
                </c:ext>
              </c:extLst>
            </c:dLbl>
            <c:dLbl>
              <c:idx val="2"/>
              <c:delete val="1"/>
              <c:extLst>
                <c:ext xmlns:c15="http://schemas.microsoft.com/office/drawing/2012/chart" uri="{CE6537A1-D6FC-4f65-9D91-7224C49458BB}"/>
                <c:ext xmlns:c16="http://schemas.microsoft.com/office/drawing/2014/chart" uri="{C3380CC4-5D6E-409C-BE32-E72D297353CC}">
                  <c16:uniqueId val="{00000014-7071-4053-9175-1B138BF0C38D}"/>
                </c:ext>
              </c:extLst>
            </c:dLbl>
            <c:dLbl>
              <c:idx val="3"/>
              <c:delete val="1"/>
              <c:extLst>
                <c:ext xmlns:c15="http://schemas.microsoft.com/office/drawing/2012/chart" uri="{CE6537A1-D6FC-4f65-9D91-7224C49458BB}"/>
                <c:ext xmlns:c16="http://schemas.microsoft.com/office/drawing/2014/chart" uri="{C3380CC4-5D6E-409C-BE32-E72D297353CC}">
                  <c16:uniqueId val="{00000003-7071-4053-9175-1B138BF0C38D}"/>
                </c:ext>
              </c:extLst>
            </c:dLbl>
            <c:dLbl>
              <c:idx val="4"/>
              <c:delete val="1"/>
              <c:extLst>
                <c:ext xmlns:c15="http://schemas.microsoft.com/office/drawing/2012/chart" uri="{CE6537A1-D6FC-4f65-9D91-7224C49458BB}"/>
                <c:ext xmlns:c16="http://schemas.microsoft.com/office/drawing/2014/chart" uri="{C3380CC4-5D6E-409C-BE32-E72D297353CC}">
                  <c16:uniqueId val="{00000004-7071-4053-9175-1B138BF0C38D}"/>
                </c:ext>
              </c:extLst>
            </c:dLbl>
            <c:dLbl>
              <c:idx val="5"/>
              <c:delete val="1"/>
              <c:extLst>
                <c:ext xmlns:c15="http://schemas.microsoft.com/office/drawing/2012/chart" uri="{CE6537A1-D6FC-4f65-9D91-7224C49458BB}"/>
                <c:ext xmlns:c16="http://schemas.microsoft.com/office/drawing/2014/chart" uri="{C3380CC4-5D6E-409C-BE32-E72D297353CC}">
                  <c16:uniqueId val="{00000005-7071-4053-9175-1B138BF0C38D}"/>
                </c:ext>
              </c:extLst>
            </c:dLbl>
            <c:dLbl>
              <c:idx val="6"/>
              <c:delete val="1"/>
              <c:extLst>
                <c:ext xmlns:c15="http://schemas.microsoft.com/office/drawing/2012/chart" uri="{CE6537A1-D6FC-4f65-9D91-7224C49458BB}"/>
                <c:ext xmlns:c16="http://schemas.microsoft.com/office/drawing/2014/chart" uri="{C3380CC4-5D6E-409C-BE32-E72D297353CC}">
                  <c16:uniqueId val="{00000006-7071-4053-9175-1B138BF0C38D}"/>
                </c:ext>
              </c:extLst>
            </c:dLbl>
            <c:dLbl>
              <c:idx val="7"/>
              <c:delete val="1"/>
              <c:extLst>
                <c:ext xmlns:c15="http://schemas.microsoft.com/office/drawing/2012/chart" uri="{CE6537A1-D6FC-4f65-9D91-7224C49458BB}"/>
                <c:ext xmlns:c16="http://schemas.microsoft.com/office/drawing/2014/chart" uri="{C3380CC4-5D6E-409C-BE32-E72D297353CC}">
                  <c16:uniqueId val="{00000007-7071-4053-9175-1B138BF0C38D}"/>
                </c:ext>
              </c:extLst>
            </c:dLbl>
            <c:dLbl>
              <c:idx val="8"/>
              <c:delete val="1"/>
              <c:extLst>
                <c:ext xmlns:c15="http://schemas.microsoft.com/office/drawing/2012/chart" uri="{CE6537A1-D6FC-4f65-9D91-7224C49458BB}"/>
                <c:ext xmlns:c16="http://schemas.microsoft.com/office/drawing/2014/chart" uri="{C3380CC4-5D6E-409C-BE32-E72D297353CC}">
                  <c16:uniqueId val="{00000008-7071-4053-9175-1B138BF0C38D}"/>
                </c:ext>
              </c:extLst>
            </c:dLbl>
            <c:dLbl>
              <c:idx val="9"/>
              <c:delete val="1"/>
              <c:extLst>
                <c:ext xmlns:c15="http://schemas.microsoft.com/office/drawing/2012/chart" uri="{CE6537A1-D6FC-4f65-9D91-7224C49458BB}"/>
                <c:ext xmlns:c16="http://schemas.microsoft.com/office/drawing/2014/chart" uri="{C3380CC4-5D6E-409C-BE32-E72D297353CC}">
                  <c16:uniqueId val="{00000009-7071-4053-9175-1B138BF0C38D}"/>
                </c:ext>
              </c:extLst>
            </c:dLbl>
            <c:dLbl>
              <c:idx val="10"/>
              <c:delete val="1"/>
              <c:extLst>
                <c:ext xmlns:c15="http://schemas.microsoft.com/office/drawing/2012/chart" uri="{CE6537A1-D6FC-4f65-9D91-7224C49458BB}"/>
                <c:ext xmlns:c16="http://schemas.microsoft.com/office/drawing/2014/chart" uri="{C3380CC4-5D6E-409C-BE32-E72D297353CC}">
                  <c16:uniqueId val="{0000000A-7071-4053-9175-1B138BF0C38D}"/>
                </c:ext>
              </c:extLst>
            </c:dLbl>
            <c:dLbl>
              <c:idx val="1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3-7071-4053-9175-1B138BF0C38D}"/>
                </c:ext>
              </c:extLst>
            </c:dLbl>
            <c:dLbl>
              <c:idx val="12"/>
              <c:delete val="1"/>
              <c:extLst>
                <c:ext xmlns:c15="http://schemas.microsoft.com/office/drawing/2012/chart" uri="{CE6537A1-D6FC-4f65-9D91-7224C49458BB}"/>
                <c:ext xmlns:c16="http://schemas.microsoft.com/office/drawing/2014/chart" uri="{C3380CC4-5D6E-409C-BE32-E72D297353CC}">
                  <c16:uniqueId val="{0000000B-7071-4053-9175-1B138BF0C38D}"/>
                </c:ext>
              </c:extLst>
            </c:dLbl>
            <c:dLbl>
              <c:idx val="13"/>
              <c:delete val="1"/>
              <c:extLst>
                <c:ext xmlns:c15="http://schemas.microsoft.com/office/drawing/2012/chart" uri="{CE6537A1-D6FC-4f65-9D91-7224C49458BB}"/>
                <c:ext xmlns:c16="http://schemas.microsoft.com/office/drawing/2014/chart" uri="{C3380CC4-5D6E-409C-BE32-E72D297353CC}">
                  <c16:uniqueId val="{0000000C-7071-4053-9175-1B138BF0C38D}"/>
                </c:ext>
              </c:extLst>
            </c:dLbl>
            <c:dLbl>
              <c:idx val="14"/>
              <c:delete val="1"/>
              <c:extLst>
                <c:ext xmlns:c15="http://schemas.microsoft.com/office/drawing/2012/chart" uri="{CE6537A1-D6FC-4f65-9D91-7224C49458BB}"/>
                <c:ext xmlns:c16="http://schemas.microsoft.com/office/drawing/2014/chart" uri="{C3380CC4-5D6E-409C-BE32-E72D297353CC}">
                  <c16:uniqueId val="{0000000D-7071-4053-9175-1B138BF0C38D}"/>
                </c:ext>
              </c:extLst>
            </c:dLbl>
            <c:dLbl>
              <c:idx val="15"/>
              <c:delete val="1"/>
              <c:extLst>
                <c:ext xmlns:c15="http://schemas.microsoft.com/office/drawing/2012/chart" uri="{CE6537A1-D6FC-4f65-9D91-7224C49458BB}"/>
                <c:ext xmlns:c16="http://schemas.microsoft.com/office/drawing/2014/chart" uri="{C3380CC4-5D6E-409C-BE32-E72D297353CC}">
                  <c16:uniqueId val="{0000000E-7071-4053-9175-1B138BF0C38D}"/>
                </c:ext>
              </c:extLst>
            </c:dLbl>
            <c:dLbl>
              <c:idx val="16"/>
              <c:delete val="1"/>
              <c:extLst>
                <c:ext xmlns:c15="http://schemas.microsoft.com/office/drawing/2012/chart" uri="{CE6537A1-D6FC-4f65-9D91-7224C49458BB}"/>
                <c:ext xmlns:c16="http://schemas.microsoft.com/office/drawing/2014/chart" uri="{C3380CC4-5D6E-409C-BE32-E72D297353CC}">
                  <c16:uniqueId val="{0000000F-7071-4053-9175-1B138BF0C38D}"/>
                </c:ext>
              </c:extLst>
            </c:dLbl>
            <c:dLbl>
              <c:idx val="17"/>
              <c:delete val="1"/>
              <c:extLst>
                <c:ext xmlns:c15="http://schemas.microsoft.com/office/drawing/2012/chart" uri="{CE6537A1-D6FC-4f65-9D91-7224C49458BB}"/>
                <c:ext xmlns:c16="http://schemas.microsoft.com/office/drawing/2014/chart" uri="{C3380CC4-5D6E-409C-BE32-E72D297353CC}">
                  <c16:uniqueId val="{00000010-7071-4053-9175-1B138BF0C38D}"/>
                </c:ext>
              </c:extLst>
            </c:dLbl>
            <c:dLbl>
              <c:idx val="18"/>
              <c:delete val="1"/>
              <c:extLst>
                <c:ext xmlns:c15="http://schemas.microsoft.com/office/drawing/2012/chart" uri="{CE6537A1-D6FC-4f65-9D91-7224C49458BB}"/>
                <c:ext xmlns:c16="http://schemas.microsoft.com/office/drawing/2014/chart" uri="{C3380CC4-5D6E-409C-BE32-E72D297353CC}">
                  <c16:uniqueId val="{00000002-7071-4053-9175-1B138BF0C38D}"/>
                </c:ext>
              </c:extLst>
            </c:dLbl>
            <c:dLbl>
              <c:idx val="19"/>
              <c:delete val="1"/>
              <c:extLst>
                <c:ext xmlns:c15="http://schemas.microsoft.com/office/drawing/2012/chart" uri="{CE6537A1-D6FC-4f65-9D91-7224C49458BB}"/>
                <c:ext xmlns:c16="http://schemas.microsoft.com/office/drawing/2014/chart" uri="{C3380CC4-5D6E-409C-BE32-E72D297353CC}">
                  <c16:uniqueId val="{00000001-7071-4053-9175-1B138BF0C38D}"/>
                </c:ext>
              </c:extLst>
            </c:dLbl>
            <c:dLbl>
              <c:idx val="20"/>
              <c:delete val="1"/>
              <c:extLst>
                <c:ext xmlns:c15="http://schemas.microsoft.com/office/drawing/2012/chart" uri="{CE6537A1-D6FC-4f65-9D91-7224C49458BB}"/>
                <c:ext xmlns:c16="http://schemas.microsoft.com/office/drawing/2014/chart" uri="{C3380CC4-5D6E-409C-BE32-E72D297353CC}">
                  <c16:uniqueId val="{00000000-7071-4053-9175-1B138BF0C38D}"/>
                </c:ext>
              </c:extLst>
            </c:dLbl>
            <c:dLbl>
              <c:idx val="21"/>
              <c:numFmt formatCode="#,##0.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extLst>
                <c:ext xmlns:c16="http://schemas.microsoft.com/office/drawing/2014/chart" uri="{C3380CC4-5D6E-409C-BE32-E72D297353CC}">
                  <c16:uniqueId val="{00000001-5C1D-4474-84D7-4823F1638E36}"/>
                </c:ext>
              </c:extLst>
            </c:dLbl>
            <c:dLbl>
              <c:idx val="22"/>
              <c:delete val="1"/>
              <c:extLst>
                <c:ext xmlns:c15="http://schemas.microsoft.com/office/drawing/2012/chart" uri="{CE6537A1-D6FC-4f65-9D91-7224C49458BB}"/>
                <c:ext xmlns:c16="http://schemas.microsoft.com/office/drawing/2014/chart" uri="{C3380CC4-5D6E-409C-BE32-E72D297353CC}">
                  <c16:uniqueId val="{00000011-7071-4053-9175-1B138BF0C38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1"/>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Berechnung!$AD$61:$AD$83</c:f>
              <c:numCache>
                <c:formatCode>General</c:formatCode>
                <c:ptCount val="23"/>
                <c:pt idx="0">
                  <c:v>0</c:v>
                </c:pt>
                <c:pt idx="1">
                  <c:v>-1.500576923076923</c:v>
                </c:pt>
                <c:pt idx="2">
                  <c:v>-0.93035769230769227</c:v>
                </c:pt>
                <c:pt idx="3">
                  <c:v>-0.42016153846153825</c:v>
                </c:pt>
                <c:pt idx="4">
                  <c:v>3.0011538461538478E-2</c:v>
                </c:pt>
                <c:pt idx="5">
                  <c:v>0.42016153846153848</c:v>
                </c:pt>
                <c:pt idx="6">
                  <c:v>0.75028846153846107</c:v>
                </c:pt>
                <c:pt idx="7">
                  <c:v>1.0203923076923078</c:v>
                </c:pt>
                <c:pt idx="8">
                  <c:v>1.2304730769230763</c:v>
                </c:pt>
                <c:pt idx="9">
                  <c:v>1.3805307692307696</c:v>
                </c:pt>
                <c:pt idx="10">
                  <c:v>1.4705653846153841</c:v>
                </c:pt>
                <c:pt idx="11">
                  <c:v>1.500576923076923</c:v>
                </c:pt>
                <c:pt idx="12">
                  <c:v>1.470565384615385</c:v>
                </c:pt>
                <c:pt idx="13">
                  <c:v>1.3805307692307696</c:v>
                </c:pt>
                <c:pt idx="14">
                  <c:v>1.2304730769230763</c:v>
                </c:pt>
                <c:pt idx="15">
                  <c:v>1.0203923076923069</c:v>
                </c:pt>
                <c:pt idx="16">
                  <c:v>0.75028846153846196</c:v>
                </c:pt>
                <c:pt idx="17">
                  <c:v>0.42016153846153914</c:v>
                </c:pt>
                <c:pt idx="18">
                  <c:v>3.0011538461538922E-2</c:v>
                </c:pt>
                <c:pt idx="19">
                  <c:v>-0.42016153846153825</c:v>
                </c:pt>
                <c:pt idx="20">
                  <c:v>-0.93035769230769116</c:v>
                </c:pt>
                <c:pt idx="21">
                  <c:v>-1.500576923076923</c:v>
                </c:pt>
                <c:pt idx="22">
                  <c:v>0</c:v>
                </c:pt>
              </c:numCache>
            </c:numRef>
          </c:xVal>
          <c:yVal>
            <c:numRef>
              <c:f>Berechnung!$AE$61:$AE$83</c:f>
              <c:numCache>
                <c:formatCode>General</c:formatCode>
                <c:ptCount val="23"/>
                <c:pt idx="0">
                  <c:v>0</c:v>
                </c:pt>
                <c:pt idx="1">
                  <c:v>0</c:v>
                </c:pt>
                <c:pt idx="2">
                  <c:v>0.16999999999999998</c:v>
                </c:pt>
                <c:pt idx="3">
                  <c:v>0.33999999999999997</c:v>
                </c:pt>
                <c:pt idx="4">
                  <c:v>0.51</c:v>
                </c:pt>
                <c:pt idx="5">
                  <c:v>0.67999999999999994</c:v>
                </c:pt>
                <c:pt idx="6">
                  <c:v>0.85</c:v>
                </c:pt>
                <c:pt idx="7">
                  <c:v>1.02</c:v>
                </c:pt>
                <c:pt idx="8">
                  <c:v>1.19</c:v>
                </c:pt>
                <c:pt idx="9">
                  <c:v>1.3599999999999999</c:v>
                </c:pt>
                <c:pt idx="10">
                  <c:v>1.5299999999999998</c:v>
                </c:pt>
                <c:pt idx="11">
                  <c:v>1.7</c:v>
                </c:pt>
                <c:pt idx="12">
                  <c:v>1.8699999999999999</c:v>
                </c:pt>
                <c:pt idx="13">
                  <c:v>2.04</c:v>
                </c:pt>
                <c:pt idx="14">
                  <c:v>2.21</c:v>
                </c:pt>
                <c:pt idx="15">
                  <c:v>2.38</c:v>
                </c:pt>
                <c:pt idx="16">
                  <c:v>2.5499999999999998</c:v>
                </c:pt>
                <c:pt idx="17">
                  <c:v>2.7199999999999998</c:v>
                </c:pt>
                <c:pt idx="18">
                  <c:v>2.8899999999999997</c:v>
                </c:pt>
                <c:pt idx="19">
                  <c:v>3.0599999999999996</c:v>
                </c:pt>
                <c:pt idx="20">
                  <c:v>3.2299999999999995</c:v>
                </c:pt>
                <c:pt idx="21">
                  <c:v>3.4</c:v>
                </c:pt>
                <c:pt idx="22">
                  <c:v>3.4</c:v>
                </c:pt>
              </c:numCache>
            </c:numRef>
          </c:yVal>
          <c:smooth val="0"/>
          <c:extLst>
            <c:ext xmlns:c16="http://schemas.microsoft.com/office/drawing/2014/chart" uri="{C3380CC4-5D6E-409C-BE32-E72D297353CC}">
              <c16:uniqueId val="{00000002-0AA3-43D8-9C47-594ACC69F319}"/>
            </c:ext>
          </c:extLst>
        </c:ser>
        <c:dLbls>
          <c:showLegendKey val="0"/>
          <c:showVal val="0"/>
          <c:showCatName val="0"/>
          <c:showSerName val="0"/>
          <c:showPercent val="0"/>
          <c:showBubbleSize val="0"/>
        </c:dLbls>
        <c:axId val="471505320"/>
        <c:axId val="471505712"/>
      </c:scatterChart>
      <c:valAx>
        <c:axId val="47150532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AT" b="1">
                    <a:solidFill>
                      <a:sysClr val="windowText" lastClr="000000"/>
                    </a:solidFill>
                  </a:rPr>
                  <a:t>Biegemoment durch Windlast </a:t>
                </a:r>
                <a:r>
                  <a:rPr lang="de-AT" b="1" baseline="0">
                    <a:solidFill>
                      <a:sysClr val="windowText" lastClr="000000"/>
                    </a:solidFill>
                  </a:rPr>
                  <a:t>[kNm/m]</a:t>
                </a:r>
                <a:endParaRPr lang="de-AT"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in"/>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5712"/>
        <c:crosses val="autoZero"/>
        <c:crossBetween val="midCat"/>
      </c:valAx>
      <c:valAx>
        <c:axId val="471505712"/>
        <c:scaling>
          <c:orientation val="minMax"/>
          <c:min val="0"/>
        </c:scaling>
        <c:delete val="0"/>
        <c:axPos val="l"/>
        <c:numFmt formatCode="0.00" sourceLinked="1"/>
        <c:majorTickMark val="cross"/>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532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1.9696913580246913E-2"/>
          <c:w val="1"/>
          <c:h val="0.95825434027777778"/>
        </c:manualLayout>
      </c:layout>
      <c:scatterChart>
        <c:scatterStyle val="lineMarker"/>
        <c:varyColors val="0"/>
        <c:ser>
          <c:idx val="0"/>
          <c:order val="0"/>
          <c:tx>
            <c:strRef>
              <c:f>Berechnung!$S$31</c:f>
              <c:strCache>
                <c:ptCount val="1"/>
                <c:pt idx="0">
                  <c:v>W1</c:v>
                </c:pt>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D79B-4C40-B769-266B60B6F05D}"/>
                </c:ext>
              </c:extLst>
            </c:dLbl>
            <c:dLbl>
              <c:idx val="1"/>
              <c:delete val="1"/>
              <c:extLst>
                <c:ext xmlns:c15="http://schemas.microsoft.com/office/drawing/2012/chart" uri="{CE6537A1-D6FC-4f65-9D91-7224C49458BB}"/>
                <c:ext xmlns:c16="http://schemas.microsoft.com/office/drawing/2014/chart" uri="{C3380CC4-5D6E-409C-BE32-E72D297353CC}">
                  <c16:uniqueId val="{00000001-D79B-4C40-B769-266B60B6F05D}"/>
                </c:ext>
              </c:extLst>
            </c:dLbl>
            <c:dLbl>
              <c:idx val="2"/>
              <c:delete val="1"/>
              <c:extLst>
                <c:ext xmlns:c15="http://schemas.microsoft.com/office/drawing/2012/chart" uri="{CE6537A1-D6FC-4f65-9D91-7224C49458BB}"/>
                <c:ext xmlns:c16="http://schemas.microsoft.com/office/drawing/2014/chart" uri="{C3380CC4-5D6E-409C-BE32-E72D297353CC}">
                  <c16:uniqueId val="{00000002-D79B-4C40-B769-266B60B6F05D}"/>
                </c:ext>
              </c:extLst>
            </c:dLbl>
            <c:dLbl>
              <c:idx val="3"/>
              <c:delete val="1"/>
              <c:extLst>
                <c:ext xmlns:c15="http://schemas.microsoft.com/office/drawing/2012/chart" uri="{CE6537A1-D6FC-4f65-9D91-7224C49458BB}"/>
                <c:ext xmlns:c16="http://schemas.microsoft.com/office/drawing/2014/chart" uri="{C3380CC4-5D6E-409C-BE32-E72D297353CC}">
                  <c16:uniqueId val="{00000003-D79B-4C40-B769-266B60B6F05D}"/>
                </c:ext>
              </c:extLst>
            </c:dLbl>
            <c:dLbl>
              <c:idx val="4"/>
              <c:delete val="1"/>
              <c:extLst>
                <c:ext xmlns:c15="http://schemas.microsoft.com/office/drawing/2012/chart" uri="{CE6537A1-D6FC-4f65-9D91-7224C49458BB}"/>
                <c:ext xmlns:c16="http://schemas.microsoft.com/office/drawing/2014/chart" uri="{C3380CC4-5D6E-409C-BE32-E72D297353CC}">
                  <c16:uniqueId val="{00000004-D79B-4C40-B769-266B60B6F0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Berechnung!$V$31:$AA$31</c:f>
              <c:numCache>
                <c:formatCode>General</c:formatCode>
                <c:ptCount val="6"/>
                <c:pt idx="0">
                  <c:v>0.125</c:v>
                </c:pt>
                <c:pt idx="1">
                  <c:v>0.125</c:v>
                </c:pt>
                <c:pt idx="2">
                  <c:v>-0.125</c:v>
                </c:pt>
                <c:pt idx="3">
                  <c:v>-0.125</c:v>
                </c:pt>
                <c:pt idx="4">
                  <c:v>0.125</c:v>
                </c:pt>
                <c:pt idx="5">
                  <c:v>0.125</c:v>
                </c:pt>
              </c:numCache>
            </c:numRef>
          </c:xVal>
          <c:yVal>
            <c:numRef>
              <c:f>Berechnung!$V$32:$AA$32</c:f>
              <c:numCache>
                <c:formatCode>General</c:formatCode>
                <c:ptCount val="6"/>
                <c:pt idx="0">
                  <c:v>0</c:v>
                </c:pt>
                <c:pt idx="1">
                  <c:v>3</c:v>
                </c:pt>
                <c:pt idx="2">
                  <c:v>3</c:v>
                </c:pt>
                <c:pt idx="3">
                  <c:v>0</c:v>
                </c:pt>
                <c:pt idx="4">
                  <c:v>0</c:v>
                </c:pt>
                <c:pt idx="5">
                  <c:v>1.5</c:v>
                </c:pt>
              </c:numCache>
            </c:numRef>
          </c:yVal>
          <c:smooth val="0"/>
          <c:extLst>
            <c:ext xmlns:c16="http://schemas.microsoft.com/office/drawing/2014/chart" uri="{C3380CC4-5D6E-409C-BE32-E72D297353CC}">
              <c16:uniqueId val="{00000005-D79B-4C40-B769-266B60B6F05D}"/>
            </c:ext>
          </c:extLst>
        </c:ser>
        <c:ser>
          <c:idx val="1"/>
          <c:order val="1"/>
          <c:tx>
            <c:strRef>
              <c:f>Berechnung!$S$33</c:f>
              <c:strCache>
                <c:ptCount val="1"/>
                <c:pt idx="0">
                  <c:v>W2</c:v>
                </c:pt>
              </c:strCache>
            </c:strRef>
          </c:tx>
          <c:spPr>
            <a:ln w="1270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D79B-4C40-B769-266B60B6F05D}"/>
                </c:ext>
              </c:extLst>
            </c:dLbl>
            <c:dLbl>
              <c:idx val="1"/>
              <c:delete val="1"/>
              <c:extLst>
                <c:ext xmlns:c15="http://schemas.microsoft.com/office/drawing/2012/chart" uri="{CE6537A1-D6FC-4f65-9D91-7224C49458BB}"/>
                <c:ext xmlns:c16="http://schemas.microsoft.com/office/drawing/2014/chart" uri="{C3380CC4-5D6E-409C-BE32-E72D297353CC}">
                  <c16:uniqueId val="{00000007-D79B-4C40-B769-266B60B6F05D}"/>
                </c:ext>
              </c:extLst>
            </c:dLbl>
            <c:dLbl>
              <c:idx val="2"/>
              <c:delete val="1"/>
              <c:extLst>
                <c:ext xmlns:c15="http://schemas.microsoft.com/office/drawing/2012/chart" uri="{CE6537A1-D6FC-4f65-9D91-7224C49458BB}"/>
                <c:ext xmlns:c16="http://schemas.microsoft.com/office/drawing/2014/chart" uri="{C3380CC4-5D6E-409C-BE32-E72D297353CC}">
                  <c16:uniqueId val="{00000008-D79B-4C40-B769-266B60B6F05D}"/>
                </c:ext>
              </c:extLst>
            </c:dLbl>
            <c:dLbl>
              <c:idx val="3"/>
              <c:delete val="1"/>
              <c:extLst>
                <c:ext xmlns:c15="http://schemas.microsoft.com/office/drawing/2012/chart" uri="{CE6537A1-D6FC-4f65-9D91-7224C49458BB}"/>
                <c:ext xmlns:c16="http://schemas.microsoft.com/office/drawing/2014/chart" uri="{C3380CC4-5D6E-409C-BE32-E72D297353CC}">
                  <c16:uniqueId val="{00000009-D79B-4C40-B769-266B60B6F05D}"/>
                </c:ext>
              </c:extLst>
            </c:dLbl>
            <c:dLbl>
              <c:idx val="4"/>
              <c:delete val="1"/>
              <c:extLst>
                <c:ext xmlns:c15="http://schemas.microsoft.com/office/drawing/2012/chart" uri="{CE6537A1-D6FC-4f65-9D91-7224C49458BB}"/>
                <c:ext xmlns:c16="http://schemas.microsoft.com/office/drawing/2014/chart" uri="{C3380CC4-5D6E-409C-BE32-E72D297353CC}">
                  <c16:uniqueId val="{0000000A-D79B-4C40-B769-266B60B6F05D}"/>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Berechnung!$V$33:$AA$33</c:f>
              <c:numCache>
                <c:formatCode>General</c:formatCode>
                <c:ptCount val="6"/>
                <c:pt idx="0">
                  <c:v>0.1825</c:v>
                </c:pt>
                <c:pt idx="1">
                  <c:v>0.1825</c:v>
                </c:pt>
                <c:pt idx="2">
                  <c:v>-0.1825</c:v>
                </c:pt>
                <c:pt idx="3">
                  <c:v>-0.1825</c:v>
                </c:pt>
                <c:pt idx="4">
                  <c:v>0.1825</c:v>
                </c:pt>
                <c:pt idx="5">
                  <c:v>0.1825</c:v>
                </c:pt>
              </c:numCache>
            </c:numRef>
          </c:xVal>
          <c:yVal>
            <c:numRef>
              <c:f>Berechnung!$V$34:$AA$34</c:f>
              <c:numCache>
                <c:formatCode>General</c:formatCode>
                <c:ptCount val="6"/>
                <c:pt idx="0">
                  <c:v>3.22</c:v>
                </c:pt>
                <c:pt idx="1">
                  <c:v>6.62</c:v>
                </c:pt>
                <c:pt idx="2">
                  <c:v>6.62</c:v>
                </c:pt>
                <c:pt idx="3">
                  <c:v>3.22</c:v>
                </c:pt>
                <c:pt idx="4">
                  <c:v>3.22</c:v>
                </c:pt>
                <c:pt idx="5">
                  <c:v>4.92</c:v>
                </c:pt>
              </c:numCache>
            </c:numRef>
          </c:yVal>
          <c:smooth val="0"/>
          <c:extLst>
            <c:ext xmlns:c16="http://schemas.microsoft.com/office/drawing/2014/chart" uri="{C3380CC4-5D6E-409C-BE32-E72D297353CC}">
              <c16:uniqueId val="{0000000B-D79B-4C40-B769-266B60B6F05D}"/>
            </c:ext>
          </c:extLst>
        </c:ser>
        <c:ser>
          <c:idx val="2"/>
          <c:order val="2"/>
          <c:tx>
            <c:strRef>
              <c:f>Berechnung!$S$35</c:f>
              <c:strCache>
                <c:ptCount val="1"/>
                <c:pt idx="0">
                  <c:v>W3</c:v>
                </c:pt>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D79B-4C40-B769-266B60B6F05D}"/>
                </c:ext>
              </c:extLst>
            </c:dLbl>
            <c:dLbl>
              <c:idx val="1"/>
              <c:delete val="1"/>
              <c:extLst>
                <c:ext xmlns:c15="http://schemas.microsoft.com/office/drawing/2012/chart" uri="{CE6537A1-D6FC-4f65-9D91-7224C49458BB}"/>
                <c:ext xmlns:c16="http://schemas.microsoft.com/office/drawing/2014/chart" uri="{C3380CC4-5D6E-409C-BE32-E72D297353CC}">
                  <c16:uniqueId val="{0000000D-D79B-4C40-B769-266B60B6F05D}"/>
                </c:ext>
              </c:extLst>
            </c:dLbl>
            <c:dLbl>
              <c:idx val="2"/>
              <c:delete val="1"/>
              <c:extLst>
                <c:ext xmlns:c15="http://schemas.microsoft.com/office/drawing/2012/chart" uri="{CE6537A1-D6FC-4f65-9D91-7224C49458BB}"/>
                <c:ext xmlns:c16="http://schemas.microsoft.com/office/drawing/2014/chart" uri="{C3380CC4-5D6E-409C-BE32-E72D297353CC}">
                  <c16:uniqueId val="{0000000E-D79B-4C40-B769-266B60B6F05D}"/>
                </c:ext>
              </c:extLst>
            </c:dLbl>
            <c:dLbl>
              <c:idx val="3"/>
              <c:delete val="1"/>
              <c:extLst>
                <c:ext xmlns:c15="http://schemas.microsoft.com/office/drawing/2012/chart" uri="{CE6537A1-D6FC-4f65-9D91-7224C49458BB}"/>
                <c:ext xmlns:c16="http://schemas.microsoft.com/office/drawing/2014/chart" uri="{C3380CC4-5D6E-409C-BE32-E72D297353CC}">
                  <c16:uniqueId val="{0000000F-D79B-4C40-B769-266B60B6F05D}"/>
                </c:ext>
              </c:extLst>
            </c:dLbl>
            <c:dLbl>
              <c:idx val="4"/>
              <c:delete val="1"/>
              <c:extLst>
                <c:ext xmlns:c15="http://schemas.microsoft.com/office/drawing/2012/chart" uri="{CE6537A1-D6FC-4f65-9D91-7224C49458BB}"/>
                <c:ext xmlns:c16="http://schemas.microsoft.com/office/drawing/2014/chart" uri="{C3380CC4-5D6E-409C-BE32-E72D297353CC}">
                  <c16:uniqueId val="{00000010-D79B-4C40-B769-266B60B6F0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Berechnung!$V$35:$AA$35</c:f>
              <c:numCache>
                <c:formatCode>General</c:formatCode>
                <c:ptCount val="6"/>
                <c:pt idx="0">
                  <c:v>0.1825</c:v>
                </c:pt>
                <c:pt idx="1">
                  <c:v>0.1825</c:v>
                </c:pt>
                <c:pt idx="2">
                  <c:v>-0.1825</c:v>
                </c:pt>
                <c:pt idx="3">
                  <c:v>-0.1825</c:v>
                </c:pt>
                <c:pt idx="4">
                  <c:v>0.1825</c:v>
                </c:pt>
                <c:pt idx="5">
                  <c:v>0.1825</c:v>
                </c:pt>
              </c:numCache>
            </c:numRef>
          </c:xVal>
          <c:yVal>
            <c:numRef>
              <c:f>Berechnung!$V$36:$AA$36</c:f>
              <c:numCache>
                <c:formatCode>General</c:formatCode>
                <c:ptCount val="6"/>
                <c:pt idx="0">
                  <c:v>6.84</c:v>
                </c:pt>
                <c:pt idx="1">
                  <c:v>10.24</c:v>
                </c:pt>
                <c:pt idx="2">
                  <c:v>10.24</c:v>
                </c:pt>
                <c:pt idx="3">
                  <c:v>6.84</c:v>
                </c:pt>
                <c:pt idx="4">
                  <c:v>6.84</c:v>
                </c:pt>
                <c:pt idx="5">
                  <c:v>8.5399999999999991</c:v>
                </c:pt>
              </c:numCache>
            </c:numRef>
          </c:yVal>
          <c:smooth val="0"/>
          <c:extLst>
            <c:ext xmlns:c16="http://schemas.microsoft.com/office/drawing/2014/chart" uri="{C3380CC4-5D6E-409C-BE32-E72D297353CC}">
              <c16:uniqueId val="{00000011-D79B-4C40-B769-266B60B6F05D}"/>
            </c:ext>
          </c:extLst>
        </c:ser>
        <c:ser>
          <c:idx val="3"/>
          <c:order val="3"/>
          <c:tx>
            <c:strRef>
              <c:f>Berechnung!$S$38</c:f>
              <c:strCache>
                <c:ptCount val="1"/>
                <c:pt idx="0">
                  <c:v>D1</c:v>
                </c:pt>
              </c:strCache>
            </c:strRef>
          </c:tx>
          <c:spPr>
            <a:ln w="12700" cap="rnd">
              <a:solidFill>
                <a:schemeClr val="tx1"/>
              </a:solidFill>
              <a:round/>
            </a:ln>
            <a:effectLst/>
          </c:spPr>
          <c:marker>
            <c:symbol val="none"/>
          </c:marker>
          <c:dPt>
            <c:idx val="1"/>
            <c:bubble3D val="0"/>
            <c:extLst>
              <c:ext xmlns:c16="http://schemas.microsoft.com/office/drawing/2014/chart" uri="{C3380CC4-5D6E-409C-BE32-E72D297353CC}">
                <c16:uniqueId val="{00000012-D79B-4C40-B769-266B60B6F05D}"/>
              </c:ext>
            </c:extLst>
          </c:dPt>
          <c:dLbls>
            <c:dLbl>
              <c:idx val="2"/>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4-D79B-4C40-B769-266B60B6F05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Berechnung!$V$38:$AA$38</c:f>
              <c:numCache>
                <c:formatCode>General</c:formatCode>
                <c:ptCount val="6"/>
                <c:pt idx="0">
                  <c:v>-0.14750000000000002</c:v>
                </c:pt>
                <c:pt idx="1">
                  <c:v>-0.14750000000000002</c:v>
                </c:pt>
                <c:pt idx="2">
                  <c:v>6.0324999999999998</c:v>
                </c:pt>
                <c:pt idx="3">
                  <c:v>6.0324999999999998</c:v>
                </c:pt>
                <c:pt idx="4">
                  <c:v>3.1074999999999999</c:v>
                </c:pt>
                <c:pt idx="5">
                  <c:v>-0.14750000000000002</c:v>
                </c:pt>
              </c:numCache>
            </c:numRef>
          </c:xVal>
          <c:yVal>
            <c:numRef>
              <c:f>Berechnung!$V$39:$AA$39</c:f>
              <c:numCache>
                <c:formatCode>General</c:formatCode>
                <c:ptCount val="6"/>
                <c:pt idx="0">
                  <c:v>3</c:v>
                </c:pt>
                <c:pt idx="1">
                  <c:v>3.22</c:v>
                </c:pt>
                <c:pt idx="2">
                  <c:v>3.22</c:v>
                </c:pt>
                <c:pt idx="3">
                  <c:v>3</c:v>
                </c:pt>
                <c:pt idx="4">
                  <c:v>3</c:v>
                </c:pt>
                <c:pt idx="5">
                  <c:v>3</c:v>
                </c:pt>
              </c:numCache>
            </c:numRef>
          </c:yVal>
          <c:smooth val="0"/>
          <c:extLst>
            <c:ext xmlns:c16="http://schemas.microsoft.com/office/drawing/2014/chart" uri="{C3380CC4-5D6E-409C-BE32-E72D297353CC}">
              <c16:uniqueId val="{00000017-D79B-4C40-B769-266B60B6F05D}"/>
            </c:ext>
          </c:extLst>
        </c:ser>
        <c:ser>
          <c:idx val="4"/>
          <c:order val="4"/>
          <c:tx>
            <c:strRef>
              <c:f>Berechnung!$S$40</c:f>
              <c:strCache>
                <c:ptCount val="1"/>
                <c:pt idx="0">
                  <c:v>D2</c:v>
                </c:pt>
              </c:strCache>
            </c:strRef>
          </c:tx>
          <c:spPr>
            <a:ln w="12700" cap="rnd">
              <a:solidFill>
                <a:schemeClr val="tx1"/>
              </a:solidFill>
              <a:round/>
            </a:ln>
            <a:effectLst/>
          </c:spPr>
          <c:marker>
            <c:symbol val="none"/>
          </c:marker>
          <c:dPt>
            <c:idx val="1"/>
            <c:bubble3D val="0"/>
            <c:extLst>
              <c:ext xmlns:c16="http://schemas.microsoft.com/office/drawing/2014/chart" uri="{C3380CC4-5D6E-409C-BE32-E72D297353CC}">
                <c16:uniqueId val="{00000018-D79B-4C40-B769-266B60B6F05D}"/>
              </c:ext>
            </c:extLst>
          </c:dPt>
          <c:dLbls>
            <c:dLbl>
              <c:idx val="2"/>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A-D79B-4C40-B769-266B60B6F05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Berechnung!$V$40:$AA$40</c:f>
              <c:numCache>
                <c:formatCode>General</c:formatCode>
                <c:ptCount val="6"/>
                <c:pt idx="0">
                  <c:v>-0.14750000000000002</c:v>
                </c:pt>
                <c:pt idx="1">
                  <c:v>-0.14750000000000002</c:v>
                </c:pt>
                <c:pt idx="2">
                  <c:v>6.0324999999999998</c:v>
                </c:pt>
                <c:pt idx="3">
                  <c:v>6.0324999999999998</c:v>
                </c:pt>
                <c:pt idx="4">
                  <c:v>3.1074999999999999</c:v>
                </c:pt>
                <c:pt idx="5">
                  <c:v>-0.14750000000000002</c:v>
                </c:pt>
              </c:numCache>
            </c:numRef>
          </c:xVal>
          <c:yVal>
            <c:numRef>
              <c:f>Berechnung!$V$41:$AA$41</c:f>
              <c:numCache>
                <c:formatCode>General</c:formatCode>
                <c:ptCount val="6"/>
                <c:pt idx="0">
                  <c:v>6.62</c:v>
                </c:pt>
                <c:pt idx="1">
                  <c:v>6.84</c:v>
                </c:pt>
                <c:pt idx="2">
                  <c:v>6.84</c:v>
                </c:pt>
                <c:pt idx="3">
                  <c:v>6.62</c:v>
                </c:pt>
                <c:pt idx="4">
                  <c:v>6.62</c:v>
                </c:pt>
                <c:pt idx="5">
                  <c:v>6.62</c:v>
                </c:pt>
              </c:numCache>
            </c:numRef>
          </c:yVal>
          <c:smooth val="0"/>
          <c:extLst>
            <c:ext xmlns:c16="http://schemas.microsoft.com/office/drawing/2014/chart" uri="{C3380CC4-5D6E-409C-BE32-E72D297353CC}">
              <c16:uniqueId val="{0000001D-D79B-4C40-B769-266B60B6F05D}"/>
            </c:ext>
          </c:extLst>
        </c:ser>
        <c:ser>
          <c:idx val="5"/>
          <c:order val="5"/>
          <c:tx>
            <c:strRef>
              <c:f>Berechnung!$S$42</c:f>
              <c:strCache>
                <c:ptCount val="1"/>
              </c:strCache>
            </c:strRef>
          </c:tx>
          <c:spPr>
            <a:ln w="1270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E-D79B-4C40-B769-266B60B6F05D}"/>
                </c:ext>
              </c:extLst>
            </c:dLbl>
            <c:dLbl>
              <c:idx val="1"/>
              <c:delete val="1"/>
              <c:extLst>
                <c:ext xmlns:c15="http://schemas.microsoft.com/office/drawing/2012/chart" uri="{CE6537A1-D6FC-4f65-9D91-7224C49458BB}"/>
                <c:ext xmlns:c16="http://schemas.microsoft.com/office/drawing/2014/chart" uri="{C3380CC4-5D6E-409C-BE32-E72D297353CC}">
                  <c16:uniqueId val="{0000001F-D79B-4C40-B769-266B60B6F05D}"/>
                </c:ext>
              </c:extLst>
            </c:dLbl>
            <c:dLbl>
              <c:idx val="3"/>
              <c:delete val="1"/>
              <c:extLst>
                <c:ext xmlns:c15="http://schemas.microsoft.com/office/drawing/2012/chart" uri="{CE6537A1-D6FC-4f65-9D91-7224C49458BB}"/>
                <c:ext xmlns:c16="http://schemas.microsoft.com/office/drawing/2014/chart" uri="{C3380CC4-5D6E-409C-BE32-E72D297353CC}">
                  <c16:uniqueId val="{00000021-D79B-4C40-B769-266B60B6F05D}"/>
                </c:ext>
              </c:extLst>
            </c:dLbl>
            <c:dLbl>
              <c:idx val="4"/>
              <c:delete val="1"/>
              <c:extLst>
                <c:ext xmlns:c15="http://schemas.microsoft.com/office/drawing/2012/chart" uri="{CE6537A1-D6FC-4f65-9D91-7224C49458BB}"/>
                <c:ext xmlns:c16="http://schemas.microsoft.com/office/drawing/2014/chart" uri="{C3380CC4-5D6E-409C-BE32-E72D297353CC}">
                  <c16:uniqueId val="{00000004-4543-4C4D-8AD7-A10B6E9B5B39}"/>
                </c:ext>
              </c:extLst>
            </c:dLbl>
            <c:dLbl>
              <c:idx val="5"/>
              <c:delete val="1"/>
              <c:extLst>
                <c:ext xmlns:c15="http://schemas.microsoft.com/office/drawing/2012/chart" uri="{CE6537A1-D6FC-4f65-9D91-7224C49458BB}"/>
                <c:ext xmlns:c16="http://schemas.microsoft.com/office/drawing/2014/chart" uri="{C3380CC4-5D6E-409C-BE32-E72D297353CC}">
                  <c16:uniqueId val="{00000022-D79B-4C40-B769-266B60B6F05D}"/>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Berechnung!$V$42:$AA$42</c:f>
              <c:numCache>
                <c:formatCode>General</c:formatCode>
                <c:ptCount val="6"/>
                <c:pt idx="0">
                  <c:v>0</c:v>
                </c:pt>
                <c:pt idx="1">
                  <c:v>0</c:v>
                </c:pt>
                <c:pt idx="2">
                  <c:v>0</c:v>
                </c:pt>
                <c:pt idx="3">
                  <c:v>0</c:v>
                </c:pt>
                <c:pt idx="4">
                  <c:v>0</c:v>
                </c:pt>
                <c:pt idx="5">
                  <c:v>0</c:v>
                </c:pt>
              </c:numCache>
            </c:numRef>
          </c:xVal>
          <c:yVal>
            <c:numRef>
              <c:f>Berechnung!$V$43:$AA$43</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23-D79B-4C40-B769-266B60B6F05D}"/>
            </c:ext>
          </c:extLst>
        </c:ser>
        <c:ser>
          <c:idx val="6"/>
          <c:order val="6"/>
          <c:tx>
            <c:strRef>
              <c:f>Berechnung!$S$44</c:f>
              <c:strCache>
                <c:ptCount val="1"/>
              </c:strCache>
            </c:strRef>
          </c:tx>
          <c:spPr>
            <a:ln w="12700" cap="rnd">
              <a:solidFill>
                <a:schemeClr val="tx1"/>
              </a:solidFill>
              <a:round/>
            </a:ln>
            <a:effectLst/>
          </c:spPr>
          <c:marker>
            <c:symbol val="none"/>
          </c:marker>
          <c:dLbls>
            <c:dLbl>
              <c:idx val="2"/>
              <c:dLblPos val="l"/>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6-D79B-4C40-B769-266B60B6F05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Berechnung!$V$44:$AA$44</c:f>
              <c:numCache>
                <c:formatCode>General</c:formatCode>
                <c:ptCount val="6"/>
                <c:pt idx="0">
                  <c:v>0</c:v>
                </c:pt>
                <c:pt idx="1">
                  <c:v>0</c:v>
                </c:pt>
                <c:pt idx="2">
                  <c:v>0</c:v>
                </c:pt>
                <c:pt idx="3">
                  <c:v>0</c:v>
                </c:pt>
                <c:pt idx="4">
                  <c:v>0</c:v>
                </c:pt>
                <c:pt idx="5">
                  <c:v>0</c:v>
                </c:pt>
              </c:numCache>
            </c:numRef>
          </c:xVal>
          <c:yVal>
            <c:numRef>
              <c:f>Berechnung!$V$45:$AA$45</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29-D79B-4C40-B769-266B60B6F05D}"/>
            </c:ext>
          </c:extLst>
        </c:ser>
        <c:ser>
          <c:idx val="11"/>
          <c:order val="7"/>
          <c:tx>
            <c:strRef>
              <c:f>Berechnung!$T$46</c:f>
              <c:strCache>
                <c:ptCount val="1"/>
                <c:pt idx="0">
                  <c:v>Outline</c:v>
                </c:pt>
              </c:strCache>
            </c:strRef>
          </c:tx>
          <c:spPr>
            <a:ln w="19050" cap="rnd">
              <a:noFill/>
              <a:round/>
            </a:ln>
            <a:effectLst/>
          </c:spPr>
          <c:marker>
            <c:symbol val="none"/>
          </c:marker>
          <c:dLbls>
            <c:delete val="1"/>
          </c:dLbls>
          <c:xVal>
            <c:numRef>
              <c:f>Berechnung!$V$46:$W$46</c:f>
              <c:numCache>
                <c:formatCode>General</c:formatCode>
                <c:ptCount val="2"/>
                <c:pt idx="0">
                  <c:v>11.264000000000001</c:v>
                </c:pt>
                <c:pt idx="1">
                  <c:v>-11.264000000000001</c:v>
                </c:pt>
              </c:numCache>
            </c:numRef>
          </c:xVal>
          <c:yVal>
            <c:numRef>
              <c:f>Berechnung!$V$47:$W$47</c:f>
              <c:numCache>
                <c:formatCode>General</c:formatCode>
                <c:ptCount val="2"/>
                <c:pt idx="0">
                  <c:v>11.264000000000001</c:v>
                </c:pt>
                <c:pt idx="1">
                  <c:v>11.264000000000001</c:v>
                </c:pt>
              </c:numCache>
            </c:numRef>
          </c:yVal>
          <c:smooth val="0"/>
          <c:extLst>
            <c:ext xmlns:c16="http://schemas.microsoft.com/office/drawing/2014/chart" uri="{C3380CC4-5D6E-409C-BE32-E72D297353CC}">
              <c16:uniqueId val="{0000002A-D79B-4C40-B769-266B60B6F05D}"/>
            </c:ext>
          </c:extLst>
        </c:ser>
        <c:ser>
          <c:idx val="12"/>
          <c:order val="8"/>
          <c:tx>
            <c:strRef>
              <c:f>Berechnung!$X$51</c:f>
              <c:strCache>
                <c:ptCount val="1"/>
              </c:strCache>
            </c:strRef>
          </c:tx>
          <c:spPr>
            <a:ln w="19050" cap="rnd">
              <a:solidFill>
                <a:schemeClr val="accent1">
                  <a:lumMod val="80000"/>
                  <a:lumOff val="20000"/>
                </a:schemeClr>
              </a:solidFill>
              <a:round/>
            </a:ln>
            <a:effectLst/>
          </c:spPr>
          <c:marker>
            <c:symbol val="none"/>
          </c:marker>
          <c:dPt>
            <c:idx val="1"/>
            <c:bubble3D val="0"/>
            <c:spPr>
              <a:ln w="19050" cap="rnd">
                <a:solidFill>
                  <a:srgbClr val="C00000"/>
                </a:solidFill>
                <a:round/>
                <a:tailEnd type="triangle"/>
              </a:ln>
              <a:effectLst/>
            </c:spPr>
            <c:extLst>
              <c:ext xmlns:c16="http://schemas.microsoft.com/office/drawing/2014/chart" uri="{C3380CC4-5D6E-409C-BE32-E72D297353CC}">
                <c16:uniqueId val="{0000002C-D79B-4C40-B769-266B60B6F05D}"/>
              </c:ext>
            </c:extLst>
          </c:dPt>
          <c:dLbls>
            <c:dLbl>
              <c:idx val="0"/>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D-D79B-4C40-B769-266B60B6F05D}"/>
                </c:ext>
              </c:extLst>
            </c:dLbl>
            <c:dLbl>
              <c:idx val="1"/>
              <c:delete val="1"/>
              <c:extLst>
                <c:ext xmlns:c15="http://schemas.microsoft.com/office/drawing/2012/chart" uri="{CE6537A1-D6FC-4f65-9D91-7224C49458BB}"/>
                <c:ext xmlns:c16="http://schemas.microsoft.com/office/drawing/2014/chart" uri="{C3380CC4-5D6E-409C-BE32-E72D297353CC}">
                  <c16:uniqueId val="{0000002C-D79B-4C40-B769-266B60B6F0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Berechnung!$V$51:$W$51</c:f>
              <c:numCache>
                <c:formatCode>General</c:formatCode>
                <c:ptCount val="2"/>
                <c:pt idx="0">
                  <c:v>0</c:v>
                </c:pt>
                <c:pt idx="1">
                  <c:v>0</c:v>
                </c:pt>
              </c:numCache>
            </c:numRef>
          </c:xVal>
          <c:yVal>
            <c:numRef>
              <c:f>Berechnung!$V$52:$W$52</c:f>
              <c:numCache>
                <c:formatCode>General</c:formatCode>
                <c:ptCount val="2"/>
                <c:pt idx="0">
                  <c:v>-5</c:v>
                </c:pt>
                <c:pt idx="1">
                  <c:v>-5</c:v>
                </c:pt>
              </c:numCache>
            </c:numRef>
          </c:yVal>
          <c:smooth val="0"/>
          <c:extLst>
            <c:ext xmlns:c16="http://schemas.microsoft.com/office/drawing/2014/chart" uri="{C3380CC4-5D6E-409C-BE32-E72D297353CC}">
              <c16:uniqueId val="{0000002E-D79B-4C40-B769-266B60B6F05D}"/>
            </c:ext>
          </c:extLst>
        </c:ser>
        <c:ser>
          <c:idx val="13"/>
          <c:order val="9"/>
          <c:tx>
            <c:strRef>
              <c:f>Berechnung!$X$53</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F-D79B-4C40-B769-266B60B6F05D}"/>
                </c:ext>
              </c:extLst>
            </c:dLbl>
            <c:spPr>
              <a:noFill/>
              <a:ln>
                <a:noFill/>
              </a:ln>
              <a:effectLst/>
            </c:spPr>
            <c:txPr>
              <a:bodyPr rot="0" spcFirstLastPara="1" vertOverflow="ellipsis" vert="horz" wrap="square" lIns="38100" tIns="19050" rIns="38100" bIns="19050" anchor="ctr" anchorCtr="0">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Berechnung!$V$53:$W$53</c:f>
              <c:numCache>
                <c:formatCode>General</c:formatCode>
                <c:ptCount val="2"/>
                <c:pt idx="0">
                  <c:v>0</c:v>
                </c:pt>
                <c:pt idx="1">
                  <c:v>0</c:v>
                </c:pt>
              </c:numCache>
            </c:numRef>
          </c:xVal>
          <c:yVal>
            <c:numRef>
              <c:f>Berechnung!$V$54:$W$54</c:f>
              <c:numCache>
                <c:formatCode>General</c:formatCode>
                <c:ptCount val="2"/>
                <c:pt idx="0">
                  <c:v>-5</c:v>
                </c:pt>
                <c:pt idx="1">
                  <c:v>-5</c:v>
                </c:pt>
              </c:numCache>
            </c:numRef>
          </c:yVal>
          <c:smooth val="0"/>
          <c:extLst>
            <c:ext xmlns:c16="http://schemas.microsoft.com/office/drawing/2014/chart" uri="{C3380CC4-5D6E-409C-BE32-E72D297353CC}">
              <c16:uniqueId val="{00000030-D79B-4C40-B769-266B60B6F05D}"/>
            </c:ext>
          </c:extLst>
        </c:ser>
        <c:ser>
          <c:idx val="14"/>
          <c:order val="10"/>
          <c:tx>
            <c:strRef>
              <c:f>Berechnung!$X$55</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1-D79B-4C40-B769-266B60B6F0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Berechnung!$V$55:$W$55</c:f>
              <c:numCache>
                <c:formatCode>General</c:formatCode>
                <c:ptCount val="2"/>
                <c:pt idx="0">
                  <c:v>0</c:v>
                </c:pt>
                <c:pt idx="1">
                  <c:v>0</c:v>
                </c:pt>
              </c:numCache>
            </c:numRef>
          </c:xVal>
          <c:yVal>
            <c:numRef>
              <c:f>Berechnung!$V$56:$W$56</c:f>
              <c:numCache>
                <c:formatCode>General</c:formatCode>
                <c:ptCount val="2"/>
                <c:pt idx="0">
                  <c:v>-5</c:v>
                </c:pt>
                <c:pt idx="1">
                  <c:v>-5</c:v>
                </c:pt>
              </c:numCache>
            </c:numRef>
          </c:yVal>
          <c:smooth val="0"/>
          <c:extLst>
            <c:ext xmlns:c16="http://schemas.microsoft.com/office/drawing/2014/chart" uri="{C3380CC4-5D6E-409C-BE32-E72D297353CC}">
              <c16:uniqueId val="{00000032-D79B-4C40-B769-266B60B6F05D}"/>
            </c:ext>
          </c:extLst>
        </c:ser>
        <c:ser>
          <c:idx val="15"/>
          <c:order val="11"/>
          <c:tx>
            <c:strRef>
              <c:f>Berechnung!$X$57</c:f>
              <c:strCache>
                <c:ptCount val="1"/>
              </c:strCache>
            </c:strRef>
          </c:tx>
          <c:spPr>
            <a:ln w="19050" cap="rnd">
              <a:solidFill>
                <a:srgbClr val="C00000"/>
              </a:solidFill>
              <a:round/>
              <a:headEnd type="none"/>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3-D79B-4C40-B769-266B60B6F0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Berechnung!$V$57:$W$57</c:f>
              <c:numCache>
                <c:formatCode>General</c:formatCode>
                <c:ptCount val="2"/>
                <c:pt idx="0">
                  <c:v>0</c:v>
                </c:pt>
                <c:pt idx="1">
                  <c:v>0</c:v>
                </c:pt>
              </c:numCache>
            </c:numRef>
          </c:xVal>
          <c:yVal>
            <c:numRef>
              <c:f>Berechnung!$V$58:$W$58</c:f>
              <c:numCache>
                <c:formatCode>General</c:formatCode>
                <c:ptCount val="2"/>
                <c:pt idx="0">
                  <c:v>-5</c:v>
                </c:pt>
                <c:pt idx="1">
                  <c:v>-5</c:v>
                </c:pt>
              </c:numCache>
            </c:numRef>
          </c:yVal>
          <c:smooth val="0"/>
          <c:extLst>
            <c:ext xmlns:c16="http://schemas.microsoft.com/office/drawing/2014/chart" uri="{C3380CC4-5D6E-409C-BE32-E72D297353CC}">
              <c16:uniqueId val="{00000034-D79B-4C40-B769-266B60B6F05D}"/>
            </c:ext>
          </c:extLst>
        </c:ser>
        <c:ser>
          <c:idx val="7"/>
          <c:order val="12"/>
          <c:tx>
            <c:v>Bearing Slab 01 Fixed</c:v>
          </c:tx>
          <c:spPr>
            <a:ln w="19050" cap="rnd">
              <a:solidFill>
                <a:schemeClr val="accent2">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Berechnung!$Z$51</c:f>
              <c:numCache>
                <c:formatCode>General</c:formatCode>
                <c:ptCount val="1"/>
                <c:pt idx="0">
                  <c:v>6.0324999999999998</c:v>
                </c:pt>
              </c:numCache>
            </c:numRef>
          </c:xVal>
          <c:yVal>
            <c:numRef>
              <c:f>Berechnung!$Z$52</c:f>
              <c:numCache>
                <c:formatCode>General</c:formatCode>
                <c:ptCount val="1"/>
                <c:pt idx="0">
                  <c:v>3</c:v>
                </c:pt>
              </c:numCache>
            </c:numRef>
          </c:yVal>
          <c:smooth val="0"/>
          <c:extLst>
            <c:ext xmlns:c16="http://schemas.microsoft.com/office/drawing/2014/chart" uri="{C3380CC4-5D6E-409C-BE32-E72D297353CC}">
              <c16:uniqueId val="{00000035-D79B-4C40-B769-266B60B6F05D}"/>
            </c:ext>
          </c:extLst>
        </c:ser>
        <c:ser>
          <c:idx val="8"/>
          <c:order val="13"/>
          <c:tx>
            <c:v>Bearing Slab 01 Hinged</c:v>
          </c:tx>
          <c:spPr>
            <a:ln w="19050" cap="rnd">
              <a:solidFill>
                <a:schemeClr val="accent3">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Berechnung!$AA$51</c:f>
              <c:numCache>
                <c:formatCode>General</c:formatCode>
                <c:ptCount val="1"/>
                <c:pt idx="0">
                  <c:v>6.0324999999999998</c:v>
                </c:pt>
              </c:numCache>
            </c:numRef>
          </c:xVal>
          <c:yVal>
            <c:numRef>
              <c:f>Berechnung!$AA$52</c:f>
              <c:numCache>
                <c:formatCode>General</c:formatCode>
                <c:ptCount val="1"/>
                <c:pt idx="0">
                  <c:v>-5</c:v>
                </c:pt>
              </c:numCache>
            </c:numRef>
          </c:yVal>
          <c:smooth val="0"/>
          <c:extLst>
            <c:ext xmlns:c16="http://schemas.microsoft.com/office/drawing/2014/chart" uri="{C3380CC4-5D6E-409C-BE32-E72D297353CC}">
              <c16:uniqueId val="{00000036-D79B-4C40-B769-266B60B6F05D}"/>
            </c:ext>
          </c:extLst>
        </c:ser>
        <c:ser>
          <c:idx val="9"/>
          <c:order val="14"/>
          <c:tx>
            <c:v>Bearing Slab 02 Fixed</c:v>
          </c:tx>
          <c:spPr>
            <a:ln w="19050" cap="rnd">
              <a:solidFill>
                <a:schemeClr val="accent4">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Berechnung!$Z$53</c:f>
              <c:numCache>
                <c:formatCode>General</c:formatCode>
                <c:ptCount val="1"/>
                <c:pt idx="0">
                  <c:v>6.0324999999999998</c:v>
                </c:pt>
              </c:numCache>
            </c:numRef>
          </c:xVal>
          <c:yVal>
            <c:numRef>
              <c:f>Berechnung!$Z$54</c:f>
              <c:numCache>
                <c:formatCode>General</c:formatCode>
                <c:ptCount val="1"/>
                <c:pt idx="0">
                  <c:v>6.62</c:v>
                </c:pt>
              </c:numCache>
            </c:numRef>
          </c:yVal>
          <c:smooth val="0"/>
          <c:extLst>
            <c:ext xmlns:c16="http://schemas.microsoft.com/office/drawing/2014/chart" uri="{C3380CC4-5D6E-409C-BE32-E72D297353CC}">
              <c16:uniqueId val="{00000037-D79B-4C40-B769-266B60B6F05D}"/>
            </c:ext>
          </c:extLst>
        </c:ser>
        <c:ser>
          <c:idx val="10"/>
          <c:order val="15"/>
          <c:tx>
            <c:v>Bearing Slab 02 Hinged</c:v>
          </c:tx>
          <c:spPr>
            <a:ln w="19050" cap="rnd">
              <a:solidFill>
                <a:schemeClr val="accent5">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Berechnung!$AA$53</c:f>
              <c:numCache>
                <c:formatCode>General</c:formatCode>
                <c:ptCount val="1"/>
                <c:pt idx="0">
                  <c:v>6.0324999999999998</c:v>
                </c:pt>
              </c:numCache>
            </c:numRef>
          </c:xVal>
          <c:yVal>
            <c:numRef>
              <c:f>Berechnung!$AA$54</c:f>
              <c:numCache>
                <c:formatCode>General</c:formatCode>
                <c:ptCount val="1"/>
                <c:pt idx="0">
                  <c:v>-5</c:v>
                </c:pt>
              </c:numCache>
            </c:numRef>
          </c:yVal>
          <c:smooth val="0"/>
          <c:extLst>
            <c:ext xmlns:c16="http://schemas.microsoft.com/office/drawing/2014/chart" uri="{C3380CC4-5D6E-409C-BE32-E72D297353CC}">
              <c16:uniqueId val="{00000038-D79B-4C40-B769-266B60B6F05D}"/>
            </c:ext>
          </c:extLst>
        </c:ser>
        <c:ser>
          <c:idx val="16"/>
          <c:order val="16"/>
          <c:tx>
            <c:v>Bearing Slab 03 Fixed</c:v>
          </c:tx>
          <c:spPr>
            <a:ln w="19050" cap="rnd">
              <a:solidFill>
                <a:schemeClr val="accent5">
                  <a:lumMod val="80000"/>
                  <a:lumOff val="2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Berechnung!$Z$55</c:f>
              <c:numCache>
                <c:formatCode>General</c:formatCode>
                <c:ptCount val="1"/>
                <c:pt idx="0">
                  <c:v>0</c:v>
                </c:pt>
              </c:numCache>
            </c:numRef>
          </c:xVal>
          <c:yVal>
            <c:numRef>
              <c:f>Berechnung!$Z$56</c:f>
              <c:numCache>
                <c:formatCode>General</c:formatCode>
                <c:ptCount val="1"/>
                <c:pt idx="0">
                  <c:v>-5</c:v>
                </c:pt>
              </c:numCache>
            </c:numRef>
          </c:yVal>
          <c:smooth val="0"/>
          <c:extLst>
            <c:ext xmlns:c16="http://schemas.microsoft.com/office/drawing/2014/chart" uri="{C3380CC4-5D6E-409C-BE32-E72D297353CC}">
              <c16:uniqueId val="{00000039-D79B-4C40-B769-266B60B6F05D}"/>
            </c:ext>
          </c:extLst>
        </c:ser>
        <c:ser>
          <c:idx val="17"/>
          <c:order val="17"/>
          <c:tx>
            <c:v>Bearing Slab 03 Hinged</c:v>
          </c:tx>
          <c:spPr>
            <a:ln w="19050" cap="rnd">
              <a:solidFill>
                <a:schemeClr val="accent6">
                  <a:lumMod val="80000"/>
                  <a:lumOff val="2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Berechnung!$AA$55</c:f>
              <c:numCache>
                <c:formatCode>General</c:formatCode>
                <c:ptCount val="1"/>
                <c:pt idx="0">
                  <c:v>0</c:v>
                </c:pt>
              </c:numCache>
            </c:numRef>
          </c:xVal>
          <c:yVal>
            <c:numRef>
              <c:f>Berechnung!$AA$56</c:f>
              <c:numCache>
                <c:formatCode>General</c:formatCode>
                <c:ptCount val="1"/>
                <c:pt idx="0">
                  <c:v>-5</c:v>
                </c:pt>
              </c:numCache>
            </c:numRef>
          </c:yVal>
          <c:smooth val="0"/>
          <c:extLst>
            <c:ext xmlns:c16="http://schemas.microsoft.com/office/drawing/2014/chart" uri="{C3380CC4-5D6E-409C-BE32-E72D297353CC}">
              <c16:uniqueId val="{0000003A-D79B-4C40-B769-266B60B6F05D}"/>
            </c:ext>
          </c:extLst>
        </c:ser>
        <c:ser>
          <c:idx val="18"/>
          <c:order val="18"/>
          <c:tx>
            <c:v>Bearing Slab 04 Fixed</c:v>
          </c:tx>
          <c:spPr>
            <a:ln w="19050" cap="rnd">
              <a:solidFill>
                <a:schemeClr val="accent1">
                  <a:lumMod val="8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Berechnung!$Z$57</c:f>
              <c:numCache>
                <c:formatCode>General</c:formatCode>
                <c:ptCount val="1"/>
                <c:pt idx="0">
                  <c:v>0</c:v>
                </c:pt>
              </c:numCache>
            </c:numRef>
          </c:xVal>
          <c:yVal>
            <c:numRef>
              <c:f>Berechnung!$Z$58</c:f>
              <c:numCache>
                <c:formatCode>General</c:formatCode>
                <c:ptCount val="1"/>
                <c:pt idx="0">
                  <c:v>-5</c:v>
                </c:pt>
              </c:numCache>
            </c:numRef>
          </c:yVal>
          <c:smooth val="0"/>
          <c:extLst>
            <c:ext xmlns:c16="http://schemas.microsoft.com/office/drawing/2014/chart" uri="{C3380CC4-5D6E-409C-BE32-E72D297353CC}">
              <c16:uniqueId val="{0000003B-D79B-4C40-B769-266B60B6F05D}"/>
            </c:ext>
          </c:extLst>
        </c:ser>
        <c:ser>
          <c:idx val="19"/>
          <c:order val="19"/>
          <c:tx>
            <c:v>Bearing Slab 04 Hinged</c:v>
          </c:tx>
          <c:spPr>
            <a:ln w="19050" cap="rnd">
              <a:solidFill>
                <a:schemeClr val="accent2">
                  <a:lumMod val="8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Berechnung!$AA$57</c:f>
              <c:numCache>
                <c:formatCode>General</c:formatCode>
                <c:ptCount val="1"/>
                <c:pt idx="0">
                  <c:v>0</c:v>
                </c:pt>
              </c:numCache>
            </c:numRef>
          </c:xVal>
          <c:yVal>
            <c:numRef>
              <c:f>Berechnung!$AA$58</c:f>
              <c:numCache>
                <c:formatCode>General</c:formatCode>
                <c:ptCount val="1"/>
                <c:pt idx="0">
                  <c:v>-5</c:v>
                </c:pt>
              </c:numCache>
            </c:numRef>
          </c:yVal>
          <c:smooth val="0"/>
          <c:extLst>
            <c:ext xmlns:c16="http://schemas.microsoft.com/office/drawing/2014/chart" uri="{C3380CC4-5D6E-409C-BE32-E72D297353CC}">
              <c16:uniqueId val="{0000003C-D79B-4C40-B769-266B60B6F05D}"/>
            </c:ext>
          </c:extLst>
        </c:ser>
        <c:dLbls>
          <c:showLegendKey val="0"/>
          <c:showVal val="1"/>
          <c:showCatName val="0"/>
          <c:showSerName val="0"/>
          <c:showPercent val="0"/>
          <c:showBubbleSize val="0"/>
        </c:dLbls>
        <c:axId val="471501400"/>
        <c:axId val="471499832"/>
      </c:scatterChart>
      <c:valAx>
        <c:axId val="471501400"/>
        <c:scaling>
          <c:orientation val="minMax"/>
        </c:scaling>
        <c:delete val="0"/>
        <c:axPos val="b"/>
        <c:majorGridlines>
          <c:spPr>
            <a:ln w="9525" cap="flat" cmpd="sng" algn="ctr">
              <a:noFill/>
              <a:round/>
            </a:ln>
            <a:effectLst/>
          </c:spPr>
        </c:majorGridlines>
        <c:numFmt formatCode="General" sourceLinked="1"/>
        <c:majorTickMark val="none"/>
        <c:minorTickMark val="none"/>
        <c:tickLblPos val="none"/>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499832"/>
        <c:crosses val="autoZero"/>
        <c:crossBetween val="midCat"/>
        <c:majorUnit val="2"/>
      </c:valAx>
      <c:valAx>
        <c:axId val="471499832"/>
        <c:scaling>
          <c:orientation val="minMax"/>
          <c:min val="0"/>
        </c:scaling>
        <c:delete val="1"/>
        <c:axPos val="l"/>
        <c:majorGridlines>
          <c:spPr>
            <a:ln w="9525" cap="flat" cmpd="sng" algn="ctr">
              <a:noFill/>
              <a:round/>
            </a:ln>
            <a:effectLst/>
          </c:spPr>
        </c:majorGridlines>
        <c:numFmt formatCode="General" sourceLinked="1"/>
        <c:majorTickMark val="out"/>
        <c:minorTickMark val="none"/>
        <c:tickLblPos val="nextTo"/>
        <c:crossAx val="471501400"/>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374567901234571"/>
        </c:manualLayout>
      </c:layout>
      <c:scatterChart>
        <c:scatterStyle val="lineMarker"/>
        <c:varyColors val="0"/>
        <c:ser>
          <c:idx val="0"/>
          <c:order val="0"/>
          <c:tx>
            <c:strRef>
              <c:f>Berechnung!$T$31</c:f>
              <c:strCache>
                <c:ptCount val="1"/>
                <c:pt idx="0">
                  <c:v>Wand 1</c:v>
                </c:pt>
              </c:strCache>
            </c:strRef>
          </c:tx>
          <c:spPr>
            <a:ln w="12700" cap="rnd">
              <a:solidFill>
                <a:schemeClr val="tx1"/>
              </a:solidFill>
              <a:round/>
            </a:ln>
            <a:effectLst/>
          </c:spPr>
          <c:marker>
            <c:symbol val="none"/>
          </c:marker>
          <c:xVal>
            <c:numRef>
              <c:f>Berechnung!$AE$31:$AJ$31</c:f>
              <c:numCache>
                <c:formatCode>General</c:formatCode>
                <c:ptCount val="6"/>
                <c:pt idx="0">
                  <c:v>2.7</c:v>
                </c:pt>
                <c:pt idx="1">
                  <c:v>2.7</c:v>
                </c:pt>
                <c:pt idx="2">
                  <c:v>-2.7</c:v>
                </c:pt>
                <c:pt idx="3">
                  <c:v>-2.7</c:v>
                </c:pt>
                <c:pt idx="4">
                  <c:v>2.7</c:v>
                </c:pt>
                <c:pt idx="5">
                  <c:v>2.7</c:v>
                </c:pt>
              </c:numCache>
            </c:numRef>
          </c:xVal>
          <c:yVal>
            <c:numRef>
              <c:f>Berechnung!$V$32:$AA$32</c:f>
              <c:numCache>
                <c:formatCode>General</c:formatCode>
                <c:ptCount val="6"/>
                <c:pt idx="0">
                  <c:v>0</c:v>
                </c:pt>
                <c:pt idx="1">
                  <c:v>3</c:v>
                </c:pt>
                <c:pt idx="2">
                  <c:v>3</c:v>
                </c:pt>
                <c:pt idx="3">
                  <c:v>0</c:v>
                </c:pt>
                <c:pt idx="4">
                  <c:v>0</c:v>
                </c:pt>
                <c:pt idx="5">
                  <c:v>1.5</c:v>
                </c:pt>
              </c:numCache>
            </c:numRef>
          </c:yVal>
          <c:smooth val="0"/>
          <c:extLst>
            <c:ext xmlns:c16="http://schemas.microsoft.com/office/drawing/2014/chart" uri="{C3380CC4-5D6E-409C-BE32-E72D297353CC}">
              <c16:uniqueId val="{00000000-CFC9-4999-A03A-93D9FDA64332}"/>
            </c:ext>
          </c:extLst>
        </c:ser>
        <c:ser>
          <c:idx val="1"/>
          <c:order val="1"/>
          <c:tx>
            <c:strRef>
              <c:f>Berechnung!$T$33</c:f>
              <c:strCache>
                <c:ptCount val="1"/>
                <c:pt idx="0">
                  <c:v>Wand 2</c:v>
                </c:pt>
              </c:strCache>
            </c:strRef>
          </c:tx>
          <c:spPr>
            <a:ln w="12700" cap="rnd">
              <a:solidFill>
                <a:srgbClr val="B30000"/>
              </a:solidFill>
              <a:round/>
            </a:ln>
            <a:effectLst/>
          </c:spPr>
          <c:marker>
            <c:symbol val="none"/>
          </c:marker>
          <c:xVal>
            <c:numRef>
              <c:f>Berechnung!$AE$33:$AJ$33</c:f>
              <c:numCache>
                <c:formatCode>General</c:formatCode>
                <c:ptCount val="6"/>
                <c:pt idx="0">
                  <c:v>0.65</c:v>
                </c:pt>
                <c:pt idx="1">
                  <c:v>0.65</c:v>
                </c:pt>
                <c:pt idx="2">
                  <c:v>-0.65</c:v>
                </c:pt>
                <c:pt idx="3">
                  <c:v>-0.65</c:v>
                </c:pt>
                <c:pt idx="4">
                  <c:v>0.65</c:v>
                </c:pt>
                <c:pt idx="5">
                  <c:v>0.65</c:v>
                </c:pt>
              </c:numCache>
            </c:numRef>
          </c:xVal>
          <c:yVal>
            <c:numRef>
              <c:f>Berechnung!$V$34:$AA$34</c:f>
              <c:numCache>
                <c:formatCode>General</c:formatCode>
                <c:ptCount val="6"/>
                <c:pt idx="0">
                  <c:v>3.22</c:v>
                </c:pt>
                <c:pt idx="1">
                  <c:v>6.62</c:v>
                </c:pt>
                <c:pt idx="2">
                  <c:v>6.62</c:v>
                </c:pt>
                <c:pt idx="3">
                  <c:v>3.22</c:v>
                </c:pt>
                <c:pt idx="4">
                  <c:v>3.22</c:v>
                </c:pt>
                <c:pt idx="5">
                  <c:v>4.92</c:v>
                </c:pt>
              </c:numCache>
            </c:numRef>
          </c:yVal>
          <c:smooth val="0"/>
          <c:extLst>
            <c:ext xmlns:c16="http://schemas.microsoft.com/office/drawing/2014/chart" uri="{C3380CC4-5D6E-409C-BE32-E72D297353CC}">
              <c16:uniqueId val="{00000001-CFC9-4999-A03A-93D9FDA64332}"/>
            </c:ext>
          </c:extLst>
        </c:ser>
        <c:ser>
          <c:idx val="2"/>
          <c:order val="2"/>
          <c:tx>
            <c:strRef>
              <c:f>Berechnung!$T$35</c:f>
              <c:strCache>
                <c:ptCount val="1"/>
                <c:pt idx="0">
                  <c:v>Wand 3</c:v>
                </c:pt>
              </c:strCache>
            </c:strRef>
          </c:tx>
          <c:spPr>
            <a:ln w="12700" cap="rnd">
              <a:solidFill>
                <a:schemeClr val="tx1"/>
              </a:solidFill>
              <a:round/>
            </a:ln>
            <a:effectLst/>
          </c:spPr>
          <c:marker>
            <c:symbol val="none"/>
          </c:marker>
          <c:dPt>
            <c:idx val="2"/>
            <c:marker>
              <c:symbol val="none"/>
            </c:marker>
            <c:bubble3D val="0"/>
            <c:extLst>
              <c:ext xmlns:c16="http://schemas.microsoft.com/office/drawing/2014/chart" uri="{C3380CC4-5D6E-409C-BE32-E72D297353CC}">
                <c16:uniqueId val="{00000002-CFC9-4999-A03A-93D9FDA64332}"/>
              </c:ext>
            </c:extLst>
          </c:dPt>
          <c:xVal>
            <c:numRef>
              <c:f>Berechnung!$AE$35:$AJ$35</c:f>
              <c:numCache>
                <c:formatCode>General</c:formatCode>
                <c:ptCount val="6"/>
                <c:pt idx="0">
                  <c:v>0.65</c:v>
                </c:pt>
                <c:pt idx="1">
                  <c:v>0.65</c:v>
                </c:pt>
                <c:pt idx="2">
                  <c:v>-0.65</c:v>
                </c:pt>
                <c:pt idx="3">
                  <c:v>-0.65</c:v>
                </c:pt>
                <c:pt idx="4">
                  <c:v>0.65</c:v>
                </c:pt>
                <c:pt idx="5">
                  <c:v>0.65</c:v>
                </c:pt>
              </c:numCache>
            </c:numRef>
          </c:xVal>
          <c:yVal>
            <c:numRef>
              <c:f>Berechnung!$V$36:$AA$36</c:f>
              <c:numCache>
                <c:formatCode>General</c:formatCode>
                <c:ptCount val="6"/>
                <c:pt idx="0">
                  <c:v>6.84</c:v>
                </c:pt>
                <c:pt idx="1">
                  <c:v>10.24</c:v>
                </c:pt>
                <c:pt idx="2">
                  <c:v>10.24</c:v>
                </c:pt>
                <c:pt idx="3">
                  <c:v>6.84</c:v>
                </c:pt>
                <c:pt idx="4">
                  <c:v>6.84</c:v>
                </c:pt>
                <c:pt idx="5">
                  <c:v>8.5399999999999991</c:v>
                </c:pt>
              </c:numCache>
            </c:numRef>
          </c:yVal>
          <c:smooth val="0"/>
          <c:extLst>
            <c:ext xmlns:c16="http://schemas.microsoft.com/office/drawing/2014/chart" uri="{C3380CC4-5D6E-409C-BE32-E72D297353CC}">
              <c16:uniqueId val="{00000003-CFC9-4999-A03A-93D9FDA64332}"/>
            </c:ext>
          </c:extLst>
        </c:ser>
        <c:ser>
          <c:idx val="3"/>
          <c:order val="3"/>
          <c:tx>
            <c:strRef>
              <c:f>Berechnung!$T$38</c:f>
              <c:strCache>
                <c:ptCount val="1"/>
                <c:pt idx="0">
                  <c:v>Decke 1</c:v>
                </c:pt>
              </c:strCache>
            </c:strRef>
          </c:tx>
          <c:spPr>
            <a:ln w="12700" cap="rnd">
              <a:solidFill>
                <a:schemeClr val="tx1"/>
              </a:solidFill>
              <a:round/>
            </a:ln>
            <a:effectLst/>
          </c:spPr>
          <c:marker>
            <c:symbol val="none"/>
          </c:marker>
          <c:xVal>
            <c:numRef>
              <c:f>Berechnung!$AE$38:$AJ$38</c:f>
              <c:numCache>
                <c:formatCode>General</c:formatCode>
                <c:ptCount val="6"/>
                <c:pt idx="0">
                  <c:v>-2.7</c:v>
                </c:pt>
                <c:pt idx="1">
                  <c:v>2.7</c:v>
                </c:pt>
                <c:pt idx="2">
                  <c:v>2.7</c:v>
                </c:pt>
                <c:pt idx="3">
                  <c:v>-2.7</c:v>
                </c:pt>
                <c:pt idx="4">
                  <c:v>-2.7</c:v>
                </c:pt>
                <c:pt idx="5">
                  <c:v>1.35</c:v>
                </c:pt>
              </c:numCache>
            </c:numRef>
          </c:xVal>
          <c:yVal>
            <c:numRef>
              <c:f>Berechnung!$AE$39:$AJ$39</c:f>
              <c:numCache>
                <c:formatCode>General</c:formatCode>
                <c:ptCount val="6"/>
                <c:pt idx="0">
                  <c:v>3</c:v>
                </c:pt>
                <c:pt idx="1">
                  <c:v>3</c:v>
                </c:pt>
                <c:pt idx="2">
                  <c:v>3.22</c:v>
                </c:pt>
                <c:pt idx="3">
                  <c:v>3.22</c:v>
                </c:pt>
                <c:pt idx="4">
                  <c:v>3</c:v>
                </c:pt>
                <c:pt idx="5">
                  <c:v>3</c:v>
                </c:pt>
              </c:numCache>
            </c:numRef>
          </c:yVal>
          <c:smooth val="0"/>
          <c:extLst>
            <c:ext xmlns:c16="http://schemas.microsoft.com/office/drawing/2014/chart" uri="{C3380CC4-5D6E-409C-BE32-E72D297353CC}">
              <c16:uniqueId val="{00000004-CFC9-4999-A03A-93D9FDA64332}"/>
            </c:ext>
          </c:extLst>
        </c:ser>
        <c:ser>
          <c:idx val="4"/>
          <c:order val="4"/>
          <c:tx>
            <c:strRef>
              <c:f>Berechnung!$T$40</c:f>
              <c:strCache>
                <c:ptCount val="1"/>
                <c:pt idx="0">
                  <c:v>Decke 2</c:v>
                </c:pt>
              </c:strCache>
            </c:strRef>
          </c:tx>
          <c:spPr>
            <a:ln w="12700" cap="rnd">
              <a:solidFill>
                <a:schemeClr val="tx1"/>
              </a:solidFill>
              <a:round/>
            </a:ln>
            <a:effectLst/>
          </c:spPr>
          <c:marker>
            <c:symbol val="none"/>
          </c:marker>
          <c:xVal>
            <c:numRef>
              <c:f>Berechnung!$AE$40:$AJ$40</c:f>
              <c:numCache>
                <c:formatCode>General</c:formatCode>
                <c:ptCount val="6"/>
                <c:pt idx="0">
                  <c:v>-1.35</c:v>
                </c:pt>
                <c:pt idx="1">
                  <c:v>1.35</c:v>
                </c:pt>
                <c:pt idx="2">
                  <c:v>1.35</c:v>
                </c:pt>
                <c:pt idx="3">
                  <c:v>-1.35</c:v>
                </c:pt>
                <c:pt idx="4">
                  <c:v>-1.35</c:v>
                </c:pt>
                <c:pt idx="5">
                  <c:v>0.32500000000000001</c:v>
                </c:pt>
              </c:numCache>
            </c:numRef>
          </c:xVal>
          <c:yVal>
            <c:numRef>
              <c:f>Berechnung!$AE$41:$AJ$41</c:f>
              <c:numCache>
                <c:formatCode>General</c:formatCode>
                <c:ptCount val="6"/>
                <c:pt idx="0">
                  <c:v>6.62</c:v>
                </c:pt>
                <c:pt idx="1">
                  <c:v>6.62</c:v>
                </c:pt>
                <c:pt idx="2">
                  <c:v>6.84</c:v>
                </c:pt>
                <c:pt idx="3">
                  <c:v>6.84</c:v>
                </c:pt>
                <c:pt idx="4">
                  <c:v>6.62</c:v>
                </c:pt>
                <c:pt idx="5">
                  <c:v>6.62</c:v>
                </c:pt>
              </c:numCache>
            </c:numRef>
          </c:yVal>
          <c:smooth val="0"/>
          <c:extLst>
            <c:ext xmlns:c16="http://schemas.microsoft.com/office/drawing/2014/chart" uri="{C3380CC4-5D6E-409C-BE32-E72D297353CC}">
              <c16:uniqueId val="{00000005-CFC9-4999-A03A-93D9FDA64332}"/>
            </c:ext>
          </c:extLst>
        </c:ser>
        <c:ser>
          <c:idx val="11"/>
          <c:order val="5"/>
          <c:tx>
            <c:strRef>
              <c:f>Berechnung!$T$46</c:f>
              <c:strCache>
                <c:ptCount val="1"/>
                <c:pt idx="0">
                  <c:v>Outline</c:v>
                </c:pt>
              </c:strCache>
            </c:strRef>
          </c:tx>
          <c:spPr>
            <a:ln w="19050" cap="rnd">
              <a:noFill/>
              <a:round/>
            </a:ln>
            <a:effectLst/>
          </c:spPr>
          <c:marker>
            <c:symbol val="none"/>
          </c:marker>
          <c:xVal>
            <c:numRef>
              <c:f>Berechnung!$AE$46:$AF$46</c:f>
              <c:numCache>
                <c:formatCode>General</c:formatCode>
                <c:ptCount val="2"/>
                <c:pt idx="0">
                  <c:v>11.264000000000001</c:v>
                </c:pt>
                <c:pt idx="1">
                  <c:v>-11.264000000000001</c:v>
                </c:pt>
              </c:numCache>
            </c:numRef>
          </c:xVal>
          <c:yVal>
            <c:numRef>
              <c:f>Berechnung!$AE$47:$AF$47</c:f>
              <c:numCache>
                <c:formatCode>General</c:formatCode>
                <c:ptCount val="2"/>
                <c:pt idx="0">
                  <c:v>11.264000000000001</c:v>
                </c:pt>
                <c:pt idx="1">
                  <c:v>11.264000000000001</c:v>
                </c:pt>
              </c:numCache>
            </c:numRef>
          </c:yVal>
          <c:smooth val="0"/>
          <c:extLst>
            <c:ext xmlns:c16="http://schemas.microsoft.com/office/drawing/2014/chart" uri="{C3380CC4-5D6E-409C-BE32-E72D297353CC}">
              <c16:uniqueId val="{00000006-CFC9-4999-A03A-93D9FDA64332}"/>
            </c:ext>
          </c:extLst>
        </c:ser>
        <c:ser>
          <c:idx val="5"/>
          <c:order val="6"/>
          <c:tx>
            <c:strRef>
              <c:f>Berechnung!$AD$50</c:f>
              <c:strCache>
                <c:ptCount val="1"/>
                <c:pt idx="0">
                  <c:v>Fixed edges</c:v>
                </c:pt>
              </c:strCache>
            </c:strRef>
          </c:tx>
          <c:spPr>
            <a:ln w="22225" cap="rnd">
              <a:solidFill>
                <a:srgbClr val="C00000"/>
              </a:solidFill>
              <a:prstDash val="sysDash"/>
              <a:round/>
            </a:ln>
            <a:effectLst/>
          </c:spPr>
          <c:marker>
            <c:symbol val="none"/>
          </c:marker>
          <c:xVal>
            <c:numRef>
              <c:f>Berechnung!$AE$51:$AF$51</c:f>
              <c:numCache>
                <c:formatCode>General</c:formatCode>
                <c:ptCount val="2"/>
                <c:pt idx="0">
                  <c:v>0</c:v>
                </c:pt>
                <c:pt idx="1">
                  <c:v>0</c:v>
                </c:pt>
              </c:numCache>
            </c:numRef>
          </c:xVal>
          <c:yVal>
            <c:numRef>
              <c:f>Berechnung!$AE$52:$AF$52</c:f>
              <c:numCache>
                <c:formatCode>General</c:formatCode>
                <c:ptCount val="2"/>
                <c:pt idx="0">
                  <c:v>0</c:v>
                </c:pt>
                <c:pt idx="1">
                  <c:v>0</c:v>
                </c:pt>
              </c:numCache>
            </c:numRef>
          </c:yVal>
          <c:smooth val="0"/>
          <c:extLst>
            <c:ext xmlns:c16="http://schemas.microsoft.com/office/drawing/2014/chart" uri="{C3380CC4-5D6E-409C-BE32-E72D297353CC}">
              <c16:uniqueId val="{00000007-CFC9-4999-A03A-93D9FDA64332}"/>
            </c:ext>
          </c:extLst>
        </c:ser>
        <c:ser>
          <c:idx val="6"/>
          <c:order val="7"/>
          <c:tx>
            <c:strRef>
              <c:f>Berechnung!$AD$50</c:f>
              <c:strCache>
                <c:ptCount val="1"/>
                <c:pt idx="0">
                  <c:v>Fixed edges</c:v>
                </c:pt>
              </c:strCache>
            </c:strRef>
          </c:tx>
          <c:spPr>
            <a:ln w="22225" cap="rnd" cmpd="sng">
              <a:solidFill>
                <a:srgbClr val="C00000"/>
              </a:solidFill>
              <a:prstDash val="sysDash"/>
              <a:round/>
            </a:ln>
            <a:effectLst/>
          </c:spPr>
          <c:marker>
            <c:symbol val="none"/>
          </c:marker>
          <c:xVal>
            <c:numRef>
              <c:f>Berechnung!$AE$53:$AF$53</c:f>
              <c:numCache>
                <c:formatCode>General</c:formatCode>
                <c:ptCount val="2"/>
                <c:pt idx="0">
                  <c:v>0</c:v>
                </c:pt>
                <c:pt idx="1">
                  <c:v>0</c:v>
                </c:pt>
              </c:numCache>
            </c:numRef>
          </c:xVal>
          <c:yVal>
            <c:numRef>
              <c:f>Berechnung!$AE$54:$AF$54</c:f>
              <c:numCache>
                <c:formatCode>General</c:formatCode>
                <c:ptCount val="2"/>
                <c:pt idx="0">
                  <c:v>0</c:v>
                </c:pt>
                <c:pt idx="1">
                  <c:v>0</c:v>
                </c:pt>
              </c:numCache>
            </c:numRef>
          </c:yVal>
          <c:smooth val="0"/>
          <c:extLst>
            <c:ext xmlns:c16="http://schemas.microsoft.com/office/drawing/2014/chart" uri="{C3380CC4-5D6E-409C-BE32-E72D297353CC}">
              <c16:uniqueId val="{00000008-CFC9-4999-A03A-93D9FDA64332}"/>
            </c:ext>
          </c:extLst>
        </c:ser>
        <c:dLbls>
          <c:showLegendKey val="0"/>
          <c:showVal val="0"/>
          <c:showCatName val="0"/>
          <c:showSerName val="0"/>
          <c:showPercent val="0"/>
          <c:showBubbleSize val="0"/>
        </c:dLbls>
        <c:axId val="471500224"/>
        <c:axId val="471503360"/>
      </c:scatterChart>
      <c:valAx>
        <c:axId val="471500224"/>
        <c:scaling>
          <c:orientation val="minMax"/>
        </c:scaling>
        <c:delete val="0"/>
        <c:axPos val="b"/>
        <c:majorGridlines>
          <c:spPr>
            <a:ln w="9525" cap="flat" cmpd="sng" algn="ctr">
              <a:noFill/>
              <a:round/>
            </a:ln>
            <a:effectLst/>
          </c:spPr>
        </c:majorGridlines>
        <c:numFmt formatCode="General" sourceLinked="1"/>
        <c:majorTickMark val="none"/>
        <c:minorTickMark val="none"/>
        <c:tickLblPos val="none"/>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71503360"/>
        <c:crosses val="autoZero"/>
        <c:crossBetween val="midCat"/>
        <c:majorUnit val="2"/>
      </c:valAx>
      <c:valAx>
        <c:axId val="471503360"/>
        <c:scaling>
          <c:orientation val="minMax"/>
          <c:min val="0"/>
        </c:scaling>
        <c:delete val="1"/>
        <c:axPos val="l"/>
        <c:majorGridlines>
          <c:spPr>
            <a:ln w="9525" cap="flat" cmpd="sng" algn="ctr">
              <a:noFill/>
              <a:round/>
            </a:ln>
            <a:effectLst/>
          </c:spPr>
        </c:majorGridlines>
        <c:numFmt formatCode="General" sourceLinked="1"/>
        <c:majorTickMark val="out"/>
        <c:minorTickMark val="none"/>
        <c:tickLblPos val="nextTo"/>
        <c:crossAx val="471500224"/>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503395061728394E-2"/>
          <c:y val="1.9696913580246913E-2"/>
          <c:w val="0.95392824074074078"/>
          <c:h val="0.91196388888888891"/>
        </c:manualLayout>
      </c:layout>
      <c:scatterChart>
        <c:scatterStyle val="lineMarker"/>
        <c:varyColors val="0"/>
        <c:ser>
          <c:idx val="0"/>
          <c:order val="0"/>
          <c:tx>
            <c:strRef>
              <c:f>'Beispiel 1'!$T$31</c:f>
              <c:strCache>
                <c:ptCount val="1"/>
                <c:pt idx="0">
                  <c:v>Wand 1</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C3BB-4C9F-A085-385DB5420572}"/>
                </c:ext>
              </c:extLst>
            </c:dLbl>
            <c:dLbl>
              <c:idx val="1"/>
              <c:delete val="1"/>
              <c:extLst>
                <c:ext xmlns:c15="http://schemas.microsoft.com/office/drawing/2012/chart" uri="{CE6537A1-D6FC-4f65-9D91-7224C49458BB}"/>
                <c:ext xmlns:c16="http://schemas.microsoft.com/office/drawing/2014/chart" uri="{C3380CC4-5D6E-409C-BE32-E72D297353CC}">
                  <c16:uniqueId val="{00000001-C3BB-4C9F-A085-385DB5420572}"/>
                </c:ext>
              </c:extLst>
            </c:dLbl>
            <c:dLbl>
              <c:idx val="2"/>
              <c:delete val="1"/>
              <c:extLst>
                <c:ext xmlns:c15="http://schemas.microsoft.com/office/drawing/2012/chart" uri="{CE6537A1-D6FC-4f65-9D91-7224C49458BB}"/>
                <c:ext xmlns:c16="http://schemas.microsoft.com/office/drawing/2014/chart" uri="{C3380CC4-5D6E-409C-BE32-E72D297353CC}">
                  <c16:uniqueId val="{00000002-C3BB-4C9F-A085-385DB5420572}"/>
                </c:ext>
              </c:extLst>
            </c:dLbl>
            <c:dLbl>
              <c:idx val="3"/>
              <c:delete val="1"/>
              <c:extLst>
                <c:ext xmlns:c15="http://schemas.microsoft.com/office/drawing/2012/chart" uri="{CE6537A1-D6FC-4f65-9D91-7224C49458BB}"/>
                <c:ext xmlns:c16="http://schemas.microsoft.com/office/drawing/2014/chart" uri="{C3380CC4-5D6E-409C-BE32-E72D297353CC}">
                  <c16:uniqueId val="{00000003-C3BB-4C9F-A085-385DB5420572}"/>
                </c:ext>
              </c:extLst>
            </c:dLbl>
            <c:dLbl>
              <c:idx val="4"/>
              <c:delete val="1"/>
              <c:extLst>
                <c:ext xmlns:c15="http://schemas.microsoft.com/office/drawing/2012/chart" uri="{CE6537A1-D6FC-4f65-9D91-7224C49458BB}"/>
                <c:ext xmlns:c16="http://schemas.microsoft.com/office/drawing/2014/chart" uri="{C3380CC4-5D6E-409C-BE32-E72D297353CC}">
                  <c16:uniqueId val="{00000004-C3BB-4C9F-A085-385DB54205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1'!$V$31:$AA$31</c:f>
              <c:numCache>
                <c:formatCode>General</c:formatCode>
                <c:ptCount val="6"/>
                <c:pt idx="0">
                  <c:v>0.125</c:v>
                </c:pt>
                <c:pt idx="1">
                  <c:v>0.125</c:v>
                </c:pt>
                <c:pt idx="2">
                  <c:v>-0.125</c:v>
                </c:pt>
                <c:pt idx="3">
                  <c:v>-0.125</c:v>
                </c:pt>
                <c:pt idx="4">
                  <c:v>0.125</c:v>
                </c:pt>
                <c:pt idx="5">
                  <c:v>0.125</c:v>
                </c:pt>
              </c:numCache>
            </c:numRef>
          </c:xVal>
          <c:yVal>
            <c:numRef>
              <c:f>'Beispiel 1'!$V$32:$AA$32</c:f>
              <c:numCache>
                <c:formatCode>General</c:formatCode>
                <c:ptCount val="6"/>
                <c:pt idx="0">
                  <c:v>0</c:v>
                </c:pt>
                <c:pt idx="1">
                  <c:v>2.5</c:v>
                </c:pt>
                <c:pt idx="2">
                  <c:v>2.5</c:v>
                </c:pt>
                <c:pt idx="3">
                  <c:v>0</c:v>
                </c:pt>
                <c:pt idx="4">
                  <c:v>0</c:v>
                </c:pt>
                <c:pt idx="5">
                  <c:v>1.25</c:v>
                </c:pt>
              </c:numCache>
            </c:numRef>
          </c:yVal>
          <c:smooth val="0"/>
          <c:extLst>
            <c:ext xmlns:c16="http://schemas.microsoft.com/office/drawing/2014/chart" uri="{C3380CC4-5D6E-409C-BE32-E72D297353CC}">
              <c16:uniqueId val="{00000005-C3BB-4C9F-A085-385DB5420572}"/>
            </c:ext>
          </c:extLst>
        </c:ser>
        <c:ser>
          <c:idx val="1"/>
          <c:order val="1"/>
          <c:tx>
            <c:strRef>
              <c:f>'Beispiel 1'!$T$33</c:f>
              <c:strCache>
                <c:ptCount val="1"/>
                <c:pt idx="0">
                  <c:v>Wand 2</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6-C3BB-4C9F-A085-385DB5420572}"/>
                </c:ext>
              </c:extLst>
            </c:dLbl>
            <c:dLbl>
              <c:idx val="1"/>
              <c:delete val="1"/>
              <c:extLst>
                <c:ext xmlns:c15="http://schemas.microsoft.com/office/drawing/2012/chart" uri="{CE6537A1-D6FC-4f65-9D91-7224C49458BB}"/>
                <c:ext xmlns:c16="http://schemas.microsoft.com/office/drawing/2014/chart" uri="{C3380CC4-5D6E-409C-BE32-E72D297353CC}">
                  <c16:uniqueId val="{00000007-C3BB-4C9F-A085-385DB5420572}"/>
                </c:ext>
              </c:extLst>
            </c:dLbl>
            <c:dLbl>
              <c:idx val="2"/>
              <c:delete val="1"/>
              <c:extLst>
                <c:ext xmlns:c15="http://schemas.microsoft.com/office/drawing/2012/chart" uri="{CE6537A1-D6FC-4f65-9D91-7224C49458BB}"/>
                <c:ext xmlns:c16="http://schemas.microsoft.com/office/drawing/2014/chart" uri="{C3380CC4-5D6E-409C-BE32-E72D297353CC}">
                  <c16:uniqueId val="{00000008-C3BB-4C9F-A085-385DB5420572}"/>
                </c:ext>
              </c:extLst>
            </c:dLbl>
            <c:dLbl>
              <c:idx val="3"/>
              <c:delete val="1"/>
              <c:extLst>
                <c:ext xmlns:c15="http://schemas.microsoft.com/office/drawing/2012/chart" uri="{CE6537A1-D6FC-4f65-9D91-7224C49458BB}"/>
                <c:ext xmlns:c16="http://schemas.microsoft.com/office/drawing/2014/chart" uri="{C3380CC4-5D6E-409C-BE32-E72D297353CC}">
                  <c16:uniqueId val="{00000009-C3BB-4C9F-A085-385DB5420572}"/>
                </c:ext>
              </c:extLst>
            </c:dLbl>
            <c:dLbl>
              <c:idx val="4"/>
              <c:delete val="1"/>
              <c:extLst>
                <c:ext xmlns:c15="http://schemas.microsoft.com/office/drawing/2012/chart" uri="{CE6537A1-D6FC-4f65-9D91-7224C49458BB}"/>
                <c:ext xmlns:c16="http://schemas.microsoft.com/office/drawing/2014/chart" uri="{C3380CC4-5D6E-409C-BE32-E72D297353CC}">
                  <c16:uniqueId val="{0000000A-C3BB-4C9F-A085-385DB542057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B3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1'!$V$33:$AA$33</c:f>
              <c:numCache>
                <c:formatCode>General</c:formatCode>
                <c:ptCount val="6"/>
                <c:pt idx="0">
                  <c:v>0.21249999999999999</c:v>
                </c:pt>
                <c:pt idx="1">
                  <c:v>0.21249999999999999</c:v>
                </c:pt>
                <c:pt idx="2">
                  <c:v>-0.21249999999999999</c:v>
                </c:pt>
                <c:pt idx="3">
                  <c:v>-0.21249999999999999</c:v>
                </c:pt>
                <c:pt idx="4">
                  <c:v>0.21249999999999999</c:v>
                </c:pt>
                <c:pt idx="5">
                  <c:v>0.21249999999999999</c:v>
                </c:pt>
              </c:numCache>
            </c:numRef>
          </c:xVal>
          <c:yVal>
            <c:numRef>
              <c:f>'Beispiel 1'!$V$34:$AA$34</c:f>
              <c:numCache>
                <c:formatCode>General</c:formatCode>
                <c:ptCount val="6"/>
                <c:pt idx="0">
                  <c:v>2.7</c:v>
                </c:pt>
                <c:pt idx="1">
                  <c:v>5.3450000000000006</c:v>
                </c:pt>
                <c:pt idx="2">
                  <c:v>5.3450000000000006</c:v>
                </c:pt>
                <c:pt idx="3">
                  <c:v>2.7</c:v>
                </c:pt>
                <c:pt idx="4">
                  <c:v>2.7</c:v>
                </c:pt>
                <c:pt idx="5">
                  <c:v>4.0225</c:v>
                </c:pt>
              </c:numCache>
            </c:numRef>
          </c:yVal>
          <c:smooth val="0"/>
          <c:extLst>
            <c:ext xmlns:c16="http://schemas.microsoft.com/office/drawing/2014/chart" uri="{C3380CC4-5D6E-409C-BE32-E72D297353CC}">
              <c16:uniqueId val="{0000000B-C3BB-4C9F-A085-385DB5420572}"/>
            </c:ext>
          </c:extLst>
        </c:ser>
        <c:ser>
          <c:idx val="2"/>
          <c:order val="2"/>
          <c:tx>
            <c:strRef>
              <c:f>'Beispiel 1'!$T$35</c:f>
              <c:strCache>
                <c:ptCount val="1"/>
                <c:pt idx="0">
                  <c:v>Wand 3</c:v>
                </c:pt>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C-C3BB-4C9F-A085-385DB5420572}"/>
                </c:ext>
              </c:extLst>
            </c:dLbl>
            <c:dLbl>
              <c:idx val="1"/>
              <c:delete val="1"/>
              <c:extLst>
                <c:ext xmlns:c15="http://schemas.microsoft.com/office/drawing/2012/chart" uri="{CE6537A1-D6FC-4f65-9D91-7224C49458BB}"/>
                <c:ext xmlns:c16="http://schemas.microsoft.com/office/drawing/2014/chart" uri="{C3380CC4-5D6E-409C-BE32-E72D297353CC}">
                  <c16:uniqueId val="{0000000D-C3BB-4C9F-A085-385DB5420572}"/>
                </c:ext>
              </c:extLst>
            </c:dLbl>
            <c:dLbl>
              <c:idx val="2"/>
              <c:delete val="1"/>
              <c:extLst>
                <c:ext xmlns:c15="http://schemas.microsoft.com/office/drawing/2012/chart" uri="{CE6537A1-D6FC-4f65-9D91-7224C49458BB}"/>
                <c:ext xmlns:c16="http://schemas.microsoft.com/office/drawing/2014/chart" uri="{C3380CC4-5D6E-409C-BE32-E72D297353CC}">
                  <c16:uniqueId val="{0000000E-C3BB-4C9F-A085-385DB5420572}"/>
                </c:ext>
              </c:extLst>
            </c:dLbl>
            <c:dLbl>
              <c:idx val="3"/>
              <c:delete val="1"/>
              <c:extLst>
                <c:ext xmlns:c15="http://schemas.microsoft.com/office/drawing/2012/chart" uri="{CE6537A1-D6FC-4f65-9D91-7224C49458BB}"/>
                <c:ext xmlns:c16="http://schemas.microsoft.com/office/drawing/2014/chart" uri="{C3380CC4-5D6E-409C-BE32-E72D297353CC}">
                  <c16:uniqueId val="{0000000F-C3BB-4C9F-A085-385DB5420572}"/>
                </c:ext>
              </c:extLst>
            </c:dLbl>
            <c:dLbl>
              <c:idx val="4"/>
              <c:delete val="1"/>
              <c:extLst>
                <c:ext xmlns:c15="http://schemas.microsoft.com/office/drawing/2012/chart" uri="{CE6537A1-D6FC-4f65-9D91-7224C49458BB}"/>
                <c:ext xmlns:c16="http://schemas.microsoft.com/office/drawing/2014/chart" uri="{C3380CC4-5D6E-409C-BE32-E72D297353CC}">
                  <c16:uniqueId val="{00000010-C3BB-4C9F-A085-385DB54205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1'!$V$35:$AA$35</c:f>
              <c:numCache>
                <c:formatCode>General</c:formatCode>
                <c:ptCount val="6"/>
                <c:pt idx="0">
                  <c:v>0.21249999999999999</c:v>
                </c:pt>
                <c:pt idx="1">
                  <c:v>0.21249999999999999</c:v>
                </c:pt>
                <c:pt idx="2">
                  <c:v>-0.21249999999999999</c:v>
                </c:pt>
                <c:pt idx="3">
                  <c:v>-0.21249999999999999</c:v>
                </c:pt>
                <c:pt idx="4">
                  <c:v>0.21249999999999999</c:v>
                </c:pt>
                <c:pt idx="5">
                  <c:v>0.21249999999999999</c:v>
                </c:pt>
              </c:numCache>
            </c:numRef>
          </c:xVal>
          <c:yVal>
            <c:numRef>
              <c:f>'Beispiel 1'!$V$36:$AA$36</c:f>
              <c:numCache>
                <c:formatCode>General</c:formatCode>
                <c:ptCount val="6"/>
                <c:pt idx="0">
                  <c:v>5.5450000000000008</c:v>
                </c:pt>
                <c:pt idx="1">
                  <c:v>8.1900000000000013</c:v>
                </c:pt>
                <c:pt idx="2">
                  <c:v>8.1900000000000013</c:v>
                </c:pt>
                <c:pt idx="3">
                  <c:v>5.5450000000000008</c:v>
                </c:pt>
                <c:pt idx="4">
                  <c:v>5.5450000000000008</c:v>
                </c:pt>
                <c:pt idx="5">
                  <c:v>6.8675000000000006</c:v>
                </c:pt>
              </c:numCache>
            </c:numRef>
          </c:yVal>
          <c:smooth val="0"/>
          <c:extLst>
            <c:ext xmlns:c16="http://schemas.microsoft.com/office/drawing/2014/chart" uri="{C3380CC4-5D6E-409C-BE32-E72D297353CC}">
              <c16:uniqueId val="{00000011-C3BB-4C9F-A085-385DB5420572}"/>
            </c:ext>
          </c:extLst>
        </c:ser>
        <c:ser>
          <c:idx val="3"/>
          <c:order val="3"/>
          <c:tx>
            <c:strRef>
              <c:f>'Beispiel 1'!$T$38</c:f>
              <c:strCache>
                <c:ptCount val="1"/>
                <c:pt idx="0">
                  <c:v>Decke 1</c:v>
                </c:pt>
              </c:strCache>
            </c:strRef>
          </c:tx>
          <c:spPr>
            <a:ln w="19050" cap="rnd">
              <a:solidFill>
                <a:schemeClr val="tx1"/>
              </a:solidFill>
              <a:round/>
            </a:ln>
            <a:effectLst/>
          </c:spPr>
          <c:marker>
            <c:symbol val="none"/>
          </c:marker>
          <c:dPt>
            <c:idx val="1"/>
            <c:bubble3D val="0"/>
            <c:extLst>
              <c:ext xmlns:c16="http://schemas.microsoft.com/office/drawing/2014/chart" uri="{C3380CC4-5D6E-409C-BE32-E72D297353CC}">
                <c16:uniqueId val="{00000012-C3BB-4C9F-A085-385DB5420572}"/>
              </c:ext>
            </c:extLst>
          </c:dPt>
          <c:dLbls>
            <c:dLbl>
              <c:idx val="0"/>
              <c:delete val="1"/>
              <c:extLst>
                <c:ext xmlns:c15="http://schemas.microsoft.com/office/drawing/2012/chart" uri="{CE6537A1-D6FC-4f65-9D91-7224C49458BB}"/>
                <c:ext xmlns:c16="http://schemas.microsoft.com/office/drawing/2014/chart" uri="{C3380CC4-5D6E-409C-BE32-E72D297353CC}">
                  <c16:uniqueId val="{00000013-C3BB-4C9F-A085-385DB5420572}"/>
                </c:ext>
              </c:extLst>
            </c:dLbl>
            <c:dLbl>
              <c:idx val="1"/>
              <c:delete val="1"/>
              <c:extLst>
                <c:ext xmlns:c15="http://schemas.microsoft.com/office/drawing/2012/chart" uri="{CE6537A1-D6FC-4f65-9D91-7224C49458BB}"/>
                <c:ext xmlns:c16="http://schemas.microsoft.com/office/drawing/2014/chart" uri="{C3380CC4-5D6E-409C-BE32-E72D297353CC}">
                  <c16:uniqueId val="{00000012-C3BB-4C9F-A085-385DB5420572}"/>
                </c:ext>
              </c:extLst>
            </c:dLbl>
            <c:dLbl>
              <c:idx val="2"/>
              <c:delete val="1"/>
              <c:extLst>
                <c:ext xmlns:c15="http://schemas.microsoft.com/office/drawing/2012/chart" uri="{CE6537A1-D6FC-4f65-9D91-7224C49458BB}"/>
                <c:ext xmlns:c16="http://schemas.microsoft.com/office/drawing/2014/chart" uri="{C3380CC4-5D6E-409C-BE32-E72D297353CC}">
                  <c16:uniqueId val="{00000014-C3BB-4C9F-A085-385DB5420572}"/>
                </c:ext>
              </c:extLst>
            </c:dLbl>
            <c:dLbl>
              <c:idx val="3"/>
              <c:delete val="1"/>
              <c:extLst>
                <c:ext xmlns:c15="http://schemas.microsoft.com/office/drawing/2012/chart" uri="{CE6537A1-D6FC-4f65-9D91-7224C49458BB}"/>
                <c:ext xmlns:c16="http://schemas.microsoft.com/office/drawing/2014/chart" uri="{C3380CC4-5D6E-409C-BE32-E72D297353CC}">
                  <c16:uniqueId val="{00000015-C3BB-4C9F-A085-385DB5420572}"/>
                </c:ext>
              </c:extLst>
            </c:dLbl>
            <c:dLbl>
              <c:idx val="5"/>
              <c:delete val="1"/>
              <c:extLst>
                <c:ext xmlns:c15="http://schemas.microsoft.com/office/drawing/2012/chart" uri="{CE6537A1-D6FC-4f65-9D91-7224C49458BB}"/>
                <c:ext xmlns:c16="http://schemas.microsoft.com/office/drawing/2014/chart" uri="{C3380CC4-5D6E-409C-BE32-E72D297353CC}">
                  <c16:uniqueId val="{00000016-C3BB-4C9F-A085-385DB5420572}"/>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1'!$V$38:$AA$38</c:f>
              <c:numCache>
                <c:formatCode>General</c:formatCode>
                <c:ptCount val="6"/>
                <c:pt idx="0">
                  <c:v>-3.2500000000000001E-2</c:v>
                </c:pt>
                <c:pt idx="1">
                  <c:v>-3.2500000000000001E-2</c:v>
                </c:pt>
                <c:pt idx="2">
                  <c:v>5.7125000000000004</c:v>
                </c:pt>
                <c:pt idx="3">
                  <c:v>5.7125000000000004</c:v>
                </c:pt>
                <c:pt idx="4">
                  <c:v>2.9624999999999999</c:v>
                </c:pt>
                <c:pt idx="5">
                  <c:v>-3.2500000000000001E-2</c:v>
                </c:pt>
              </c:numCache>
            </c:numRef>
          </c:xVal>
          <c:yVal>
            <c:numRef>
              <c:f>'Beispiel 1'!$V$39:$AA$39</c:f>
              <c:numCache>
                <c:formatCode>General</c:formatCode>
                <c:ptCount val="6"/>
                <c:pt idx="0">
                  <c:v>2.5</c:v>
                </c:pt>
                <c:pt idx="1">
                  <c:v>2.7</c:v>
                </c:pt>
                <c:pt idx="2">
                  <c:v>2.7</c:v>
                </c:pt>
                <c:pt idx="3">
                  <c:v>2.5</c:v>
                </c:pt>
                <c:pt idx="4">
                  <c:v>2.5</c:v>
                </c:pt>
                <c:pt idx="5">
                  <c:v>2.5</c:v>
                </c:pt>
              </c:numCache>
            </c:numRef>
          </c:yVal>
          <c:smooth val="0"/>
          <c:extLst>
            <c:ext xmlns:c16="http://schemas.microsoft.com/office/drawing/2014/chart" uri="{C3380CC4-5D6E-409C-BE32-E72D297353CC}">
              <c16:uniqueId val="{00000017-C3BB-4C9F-A085-385DB5420572}"/>
            </c:ext>
          </c:extLst>
        </c:ser>
        <c:ser>
          <c:idx val="4"/>
          <c:order val="4"/>
          <c:tx>
            <c:strRef>
              <c:f>'Beispiel 1'!$T$40</c:f>
              <c:strCache>
                <c:ptCount val="1"/>
                <c:pt idx="0">
                  <c:v>Decke 2</c:v>
                </c:pt>
              </c:strCache>
            </c:strRef>
          </c:tx>
          <c:spPr>
            <a:ln w="19050" cap="rnd">
              <a:solidFill>
                <a:schemeClr val="tx1"/>
              </a:solidFill>
              <a:round/>
            </a:ln>
            <a:effectLst/>
          </c:spPr>
          <c:marker>
            <c:symbol val="none"/>
          </c:marker>
          <c:dPt>
            <c:idx val="1"/>
            <c:bubble3D val="0"/>
            <c:extLst>
              <c:ext xmlns:c16="http://schemas.microsoft.com/office/drawing/2014/chart" uri="{C3380CC4-5D6E-409C-BE32-E72D297353CC}">
                <c16:uniqueId val="{00000018-C3BB-4C9F-A085-385DB5420572}"/>
              </c:ext>
            </c:extLst>
          </c:dPt>
          <c:dLbls>
            <c:dLbl>
              <c:idx val="0"/>
              <c:delete val="1"/>
              <c:extLst>
                <c:ext xmlns:c15="http://schemas.microsoft.com/office/drawing/2012/chart" uri="{CE6537A1-D6FC-4f65-9D91-7224C49458BB}"/>
                <c:ext xmlns:c16="http://schemas.microsoft.com/office/drawing/2014/chart" uri="{C3380CC4-5D6E-409C-BE32-E72D297353CC}">
                  <c16:uniqueId val="{00000019-C3BB-4C9F-A085-385DB5420572}"/>
                </c:ext>
              </c:extLst>
            </c:dLbl>
            <c:dLbl>
              <c:idx val="1"/>
              <c:delete val="1"/>
              <c:extLst>
                <c:ext xmlns:c15="http://schemas.microsoft.com/office/drawing/2012/chart" uri="{CE6537A1-D6FC-4f65-9D91-7224C49458BB}"/>
                <c:ext xmlns:c16="http://schemas.microsoft.com/office/drawing/2014/chart" uri="{C3380CC4-5D6E-409C-BE32-E72D297353CC}">
                  <c16:uniqueId val="{00000018-C3BB-4C9F-A085-385DB5420572}"/>
                </c:ext>
              </c:extLst>
            </c:dLbl>
            <c:dLbl>
              <c:idx val="2"/>
              <c:delete val="1"/>
              <c:extLst>
                <c:ext xmlns:c15="http://schemas.microsoft.com/office/drawing/2012/chart" uri="{CE6537A1-D6FC-4f65-9D91-7224C49458BB}"/>
                <c:ext xmlns:c16="http://schemas.microsoft.com/office/drawing/2014/chart" uri="{C3380CC4-5D6E-409C-BE32-E72D297353CC}">
                  <c16:uniqueId val="{0000001A-C3BB-4C9F-A085-385DB5420572}"/>
                </c:ext>
              </c:extLst>
            </c:dLbl>
            <c:dLbl>
              <c:idx val="3"/>
              <c:delete val="1"/>
              <c:extLst>
                <c:ext xmlns:c15="http://schemas.microsoft.com/office/drawing/2012/chart" uri="{CE6537A1-D6FC-4f65-9D91-7224C49458BB}"/>
                <c:ext xmlns:c16="http://schemas.microsoft.com/office/drawing/2014/chart" uri="{C3380CC4-5D6E-409C-BE32-E72D297353CC}">
                  <c16:uniqueId val="{0000001B-C3BB-4C9F-A085-385DB5420572}"/>
                </c:ext>
              </c:extLst>
            </c:dLbl>
            <c:dLbl>
              <c:idx val="5"/>
              <c:delete val="1"/>
              <c:extLst>
                <c:ext xmlns:c15="http://schemas.microsoft.com/office/drawing/2012/chart" uri="{CE6537A1-D6FC-4f65-9D91-7224C49458BB}"/>
                <c:ext xmlns:c16="http://schemas.microsoft.com/office/drawing/2014/chart" uri="{C3380CC4-5D6E-409C-BE32-E72D297353CC}">
                  <c16:uniqueId val="{0000001C-C3BB-4C9F-A085-385DB5420572}"/>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1'!$V$40:$AA$40</c:f>
              <c:numCache>
                <c:formatCode>General</c:formatCode>
                <c:ptCount val="6"/>
                <c:pt idx="0">
                  <c:v>-3.2500000000000001E-2</c:v>
                </c:pt>
                <c:pt idx="1">
                  <c:v>-3.2500000000000001E-2</c:v>
                </c:pt>
                <c:pt idx="2">
                  <c:v>5.7125000000000004</c:v>
                </c:pt>
                <c:pt idx="3">
                  <c:v>5.7125000000000004</c:v>
                </c:pt>
                <c:pt idx="4">
                  <c:v>2.9624999999999999</c:v>
                </c:pt>
                <c:pt idx="5">
                  <c:v>-3.2500000000000001E-2</c:v>
                </c:pt>
              </c:numCache>
            </c:numRef>
          </c:xVal>
          <c:yVal>
            <c:numRef>
              <c:f>'Beispiel 1'!$V$41:$AA$41</c:f>
              <c:numCache>
                <c:formatCode>General</c:formatCode>
                <c:ptCount val="6"/>
                <c:pt idx="0">
                  <c:v>5.3450000000000006</c:v>
                </c:pt>
                <c:pt idx="1">
                  <c:v>5.5450000000000008</c:v>
                </c:pt>
                <c:pt idx="2">
                  <c:v>5.5450000000000008</c:v>
                </c:pt>
                <c:pt idx="3">
                  <c:v>5.3450000000000006</c:v>
                </c:pt>
                <c:pt idx="4">
                  <c:v>5.3450000000000006</c:v>
                </c:pt>
                <c:pt idx="5">
                  <c:v>5.3450000000000006</c:v>
                </c:pt>
              </c:numCache>
            </c:numRef>
          </c:yVal>
          <c:smooth val="0"/>
          <c:extLst>
            <c:ext xmlns:c16="http://schemas.microsoft.com/office/drawing/2014/chart" uri="{C3380CC4-5D6E-409C-BE32-E72D297353CC}">
              <c16:uniqueId val="{0000001D-C3BB-4C9F-A085-385DB5420572}"/>
            </c:ext>
          </c:extLst>
        </c:ser>
        <c:ser>
          <c:idx val="5"/>
          <c:order val="5"/>
          <c:tx>
            <c:strRef>
              <c:f>'Beispiel 1'!$T$42</c:f>
              <c:strCache>
                <c:ptCount val="1"/>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E-C3BB-4C9F-A085-385DB5420572}"/>
                </c:ext>
              </c:extLst>
            </c:dLbl>
            <c:dLbl>
              <c:idx val="1"/>
              <c:delete val="1"/>
              <c:extLst>
                <c:ext xmlns:c15="http://schemas.microsoft.com/office/drawing/2012/chart" uri="{CE6537A1-D6FC-4f65-9D91-7224C49458BB}"/>
                <c:ext xmlns:c16="http://schemas.microsoft.com/office/drawing/2014/chart" uri="{C3380CC4-5D6E-409C-BE32-E72D297353CC}">
                  <c16:uniqueId val="{0000001F-C3BB-4C9F-A085-385DB5420572}"/>
                </c:ext>
              </c:extLst>
            </c:dLbl>
            <c:dLbl>
              <c:idx val="2"/>
              <c:delete val="1"/>
              <c:extLst>
                <c:ext xmlns:c15="http://schemas.microsoft.com/office/drawing/2012/chart" uri="{CE6537A1-D6FC-4f65-9D91-7224C49458BB}"/>
                <c:ext xmlns:c16="http://schemas.microsoft.com/office/drawing/2014/chart" uri="{C3380CC4-5D6E-409C-BE32-E72D297353CC}">
                  <c16:uniqueId val="{00000020-C3BB-4C9F-A085-385DB5420572}"/>
                </c:ext>
              </c:extLst>
            </c:dLbl>
            <c:dLbl>
              <c:idx val="3"/>
              <c:delete val="1"/>
              <c:extLst>
                <c:ext xmlns:c15="http://schemas.microsoft.com/office/drawing/2012/chart" uri="{CE6537A1-D6FC-4f65-9D91-7224C49458BB}"/>
                <c:ext xmlns:c16="http://schemas.microsoft.com/office/drawing/2014/chart" uri="{C3380CC4-5D6E-409C-BE32-E72D297353CC}">
                  <c16:uniqueId val="{00000021-C3BB-4C9F-A085-385DB5420572}"/>
                </c:ext>
              </c:extLst>
            </c:dLbl>
            <c:dLbl>
              <c:idx val="5"/>
              <c:delete val="1"/>
              <c:extLst>
                <c:ext xmlns:c15="http://schemas.microsoft.com/office/drawing/2012/chart" uri="{CE6537A1-D6FC-4f65-9D91-7224C49458BB}"/>
                <c:ext xmlns:c16="http://schemas.microsoft.com/office/drawing/2014/chart" uri="{C3380CC4-5D6E-409C-BE32-E72D297353CC}">
                  <c16:uniqueId val="{00000022-C3BB-4C9F-A085-385DB5420572}"/>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1'!$V$42:$AA$42</c:f>
              <c:numCache>
                <c:formatCode>General</c:formatCode>
                <c:ptCount val="6"/>
                <c:pt idx="0">
                  <c:v>0</c:v>
                </c:pt>
                <c:pt idx="1">
                  <c:v>0</c:v>
                </c:pt>
                <c:pt idx="2">
                  <c:v>0</c:v>
                </c:pt>
                <c:pt idx="3">
                  <c:v>0</c:v>
                </c:pt>
                <c:pt idx="4">
                  <c:v>0</c:v>
                </c:pt>
                <c:pt idx="5">
                  <c:v>0</c:v>
                </c:pt>
              </c:numCache>
            </c:numRef>
          </c:xVal>
          <c:yVal>
            <c:numRef>
              <c:f>'Beispiel 1'!$V$43:$AA$43</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23-C3BB-4C9F-A085-385DB5420572}"/>
            </c:ext>
          </c:extLst>
        </c:ser>
        <c:ser>
          <c:idx val="6"/>
          <c:order val="6"/>
          <c:tx>
            <c:strRef>
              <c:f>'Beispiel 1'!$T$44</c:f>
              <c:strCache>
                <c:ptCount val="1"/>
              </c:strCache>
            </c:strRef>
          </c:tx>
          <c:spPr>
            <a:ln w="190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4-C3BB-4C9F-A085-385DB5420572}"/>
                </c:ext>
              </c:extLst>
            </c:dLbl>
            <c:dLbl>
              <c:idx val="1"/>
              <c:delete val="1"/>
              <c:extLst>
                <c:ext xmlns:c15="http://schemas.microsoft.com/office/drawing/2012/chart" uri="{CE6537A1-D6FC-4f65-9D91-7224C49458BB}"/>
                <c:ext xmlns:c16="http://schemas.microsoft.com/office/drawing/2014/chart" uri="{C3380CC4-5D6E-409C-BE32-E72D297353CC}">
                  <c16:uniqueId val="{00000025-C3BB-4C9F-A085-385DB5420572}"/>
                </c:ext>
              </c:extLst>
            </c:dLbl>
            <c:dLbl>
              <c:idx val="2"/>
              <c:delete val="1"/>
              <c:extLst>
                <c:ext xmlns:c15="http://schemas.microsoft.com/office/drawing/2012/chart" uri="{CE6537A1-D6FC-4f65-9D91-7224C49458BB}"/>
                <c:ext xmlns:c16="http://schemas.microsoft.com/office/drawing/2014/chart" uri="{C3380CC4-5D6E-409C-BE32-E72D297353CC}">
                  <c16:uniqueId val="{00000026-C3BB-4C9F-A085-385DB5420572}"/>
                </c:ext>
              </c:extLst>
            </c:dLbl>
            <c:dLbl>
              <c:idx val="3"/>
              <c:delete val="1"/>
              <c:extLst>
                <c:ext xmlns:c15="http://schemas.microsoft.com/office/drawing/2012/chart" uri="{CE6537A1-D6FC-4f65-9D91-7224C49458BB}"/>
                <c:ext xmlns:c16="http://schemas.microsoft.com/office/drawing/2014/chart" uri="{C3380CC4-5D6E-409C-BE32-E72D297353CC}">
                  <c16:uniqueId val="{00000027-C3BB-4C9F-A085-385DB5420572}"/>
                </c:ext>
              </c:extLst>
            </c:dLbl>
            <c:dLbl>
              <c:idx val="5"/>
              <c:delete val="1"/>
              <c:extLst>
                <c:ext xmlns:c15="http://schemas.microsoft.com/office/drawing/2012/chart" uri="{CE6537A1-D6FC-4f65-9D91-7224C49458BB}"/>
                <c:ext xmlns:c16="http://schemas.microsoft.com/office/drawing/2014/chart" uri="{C3380CC4-5D6E-409C-BE32-E72D297353CC}">
                  <c16:uniqueId val="{00000028-C3BB-4C9F-A085-385DB5420572}"/>
                </c:ext>
              </c:extLst>
            </c:dLbl>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1'!$V$44:$AA$44</c:f>
              <c:numCache>
                <c:formatCode>General</c:formatCode>
                <c:ptCount val="6"/>
                <c:pt idx="0">
                  <c:v>0</c:v>
                </c:pt>
                <c:pt idx="1">
                  <c:v>0</c:v>
                </c:pt>
                <c:pt idx="2">
                  <c:v>0</c:v>
                </c:pt>
                <c:pt idx="3">
                  <c:v>0</c:v>
                </c:pt>
                <c:pt idx="4">
                  <c:v>0</c:v>
                </c:pt>
                <c:pt idx="5">
                  <c:v>0</c:v>
                </c:pt>
              </c:numCache>
            </c:numRef>
          </c:xVal>
          <c:yVal>
            <c:numRef>
              <c:f>'Beispiel 1'!$V$45:$AA$45</c:f>
              <c:numCache>
                <c:formatCode>General</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29-C3BB-4C9F-A085-385DB5420572}"/>
            </c:ext>
          </c:extLst>
        </c:ser>
        <c:ser>
          <c:idx val="11"/>
          <c:order val="7"/>
          <c:tx>
            <c:strRef>
              <c:f>'Beispiel 1'!$T$46</c:f>
              <c:strCache>
                <c:ptCount val="1"/>
                <c:pt idx="0">
                  <c:v>Outline</c:v>
                </c:pt>
              </c:strCache>
            </c:strRef>
          </c:tx>
          <c:spPr>
            <a:ln w="19050" cap="rnd">
              <a:noFill/>
              <a:round/>
            </a:ln>
            <a:effectLst/>
          </c:spPr>
          <c:marker>
            <c:symbol val="none"/>
          </c:marker>
          <c:dLbls>
            <c:delete val="1"/>
          </c:dLbls>
          <c:xVal>
            <c:numRef>
              <c:f>'Beispiel 1'!$V$46:$W$46</c:f>
              <c:numCache>
                <c:formatCode>General</c:formatCode>
                <c:ptCount val="2"/>
                <c:pt idx="0">
                  <c:v>9.0090000000000021</c:v>
                </c:pt>
                <c:pt idx="1">
                  <c:v>-9.0090000000000021</c:v>
                </c:pt>
              </c:numCache>
            </c:numRef>
          </c:xVal>
          <c:yVal>
            <c:numRef>
              <c:f>'Beispiel 1'!$V$47:$W$47</c:f>
              <c:numCache>
                <c:formatCode>General</c:formatCode>
                <c:ptCount val="2"/>
                <c:pt idx="0">
                  <c:v>9.0090000000000021</c:v>
                </c:pt>
                <c:pt idx="1">
                  <c:v>9.0090000000000021</c:v>
                </c:pt>
              </c:numCache>
            </c:numRef>
          </c:yVal>
          <c:smooth val="0"/>
          <c:extLst>
            <c:ext xmlns:c16="http://schemas.microsoft.com/office/drawing/2014/chart" uri="{C3380CC4-5D6E-409C-BE32-E72D297353CC}">
              <c16:uniqueId val="{0000002A-C3BB-4C9F-A085-385DB5420572}"/>
            </c:ext>
          </c:extLst>
        </c:ser>
        <c:ser>
          <c:idx val="12"/>
          <c:order val="8"/>
          <c:tx>
            <c:strRef>
              <c:f>'Beispiel 1'!$X$51</c:f>
              <c:strCache>
                <c:ptCount val="1"/>
              </c:strCache>
            </c:strRef>
          </c:tx>
          <c:spPr>
            <a:ln w="19050" cap="rnd">
              <a:solidFill>
                <a:schemeClr val="accent1">
                  <a:lumMod val="80000"/>
                  <a:lumOff val="20000"/>
                </a:schemeClr>
              </a:solidFill>
              <a:round/>
            </a:ln>
            <a:effectLst/>
          </c:spPr>
          <c:marker>
            <c:symbol val="none"/>
          </c:marker>
          <c:dPt>
            <c:idx val="1"/>
            <c:bubble3D val="0"/>
            <c:spPr>
              <a:ln w="19050" cap="rnd">
                <a:solidFill>
                  <a:srgbClr val="C00000"/>
                </a:solidFill>
                <a:round/>
                <a:tailEnd type="triangle"/>
              </a:ln>
              <a:effectLst/>
            </c:spPr>
            <c:extLst>
              <c:ext xmlns:c16="http://schemas.microsoft.com/office/drawing/2014/chart" uri="{C3380CC4-5D6E-409C-BE32-E72D297353CC}">
                <c16:uniqueId val="{0000002C-C3BB-4C9F-A085-385DB5420572}"/>
              </c:ext>
            </c:extLst>
          </c:dPt>
          <c:dLbls>
            <c:dLbl>
              <c:idx val="0"/>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D-C3BB-4C9F-A085-385DB5420572}"/>
                </c:ext>
              </c:extLst>
            </c:dLbl>
            <c:dLbl>
              <c:idx val="1"/>
              <c:delete val="1"/>
              <c:extLst>
                <c:ext xmlns:c15="http://schemas.microsoft.com/office/drawing/2012/chart" uri="{CE6537A1-D6FC-4f65-9D91-7224C49458BB}"/>
                <c:ext xmlns:c16="http://schemas.microsoft.com/office/drawing/2014/chart" uri="{C3380CC4-5D6E-409C-BE32-E72D297353CC}">
                  <c16:uniqueId val="{0000002C-C3BB-4C9F-A085-385DB54205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1'!$V$51:$W$51</c:f>
              <c:numCache>
                <c:formatCode>General</c:formatCode>
                <c:ptCount val="2"/>
                <c:pt idx="0">
                  <c:v>0</c:v>
                </c:pt>
                <c:pt idx="1">
                  <c:v>0</c:v>
                </c:pt>
              </c:numCache>
            </c:numRef>
          </c:xVal>
          <c:yVal>
            <c:numRef>
              <c:f>'Beispiel 1'!$V$52:$W$52</c:f>
              <c:numCache>
                <c:formatCode>General</c:formatCode>
                <c:ptCount val="2"/>
                <c:pt idx="0">
                  <c:v>-5</c:v>
                </c:pt>
                <c:pt idx="1">
                  <c:v>-5</c:v>
                </c:pt>
              </c:numCache>
            </c:numRef>
          </c:yVal>
          <c:smooth val="0"/>
          <c:extLst>
            <c:ext xmlns:c16="http://schemas.microsoft.com/office/drawing/2014/chart" uri="{C3380CC4-5D6E-409C-BE32-E72D297353CC}">
              <c16:uniqueId val="{0000002E-C3BB-4C9F-A085-385DB5420572}"/>
            </c:ext>
          </c:extLst>
        </c:ser>
        <c:ser>
          <c:idx val="13"/>
          <c:order val="9"/>
          <c:tx>
            <c:strRef>
              <c:f>'Beispiel 1'!$X$53</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2F-C3BB-4C9F-A085-385DB5420572}"/>
                </c:ext>
              </c:extLst>
            </c:dLbl>
            <c:spPr>
              <a:noFill/>
              <a:ln>
                <a:noFill/>
              </a:ln>
              <a:effectLst/>
            </c:spPr>
            <c:txPr>
              <a:bodyPr rot="0" spcFirstLastPara="1" vertOverflow="ellipsis" vert="horz" wrap="square" lIns="38100" tIns="19050" rIns="38100" bIns="19050" anchor="ctr" anchorCtr="0">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1'!$V$53:$W$53</c:f>
              <c:numCache>
                <c:formatCode>General</c:formatCode>
                <c:ptCount val="2"/>
                <c:pt idx="0">
                  <c:v>0</c:v>
                </c:pt>
                <c:pt idx="1">
                  <c:v>0</c:v>
                </c:pt>
              </c:numCache>
            </c:numRef>
          </c:xVal>
          <c:yVal>
            <c:numRef>
              <c:f>'Beispiel 1'!$V$54:$W$54</c:f>
              <c:numCache>
                <c:formatCode>General</c:formatCode>
                <c:ptCount val="2"/>
                <c:pt idx="0">
                  <c:v>-5</c:v>
                </c:pt>
                <c:pt idx="1">
                  <c:v>-5</c:v>
                </c:pt>
              </c:numCache>
            </c:numRef>
          </c:yVal>
          <c:smooth val="0"/>
          <c:extLst>
            <c:ext xmlns:c16="http://schemas.microsoft.com/office/drawing/2014/chart" uri="{C3380CC4-5D6E-409C-BE32-E72D297353CC}">
              <c16:uniqueId val="{00000030-C3BB-4C9F-A085-385DB5420572}"/>
            </c:ext>
          </c:extLst>
        </c:ser>
        <c:ser>
          <c:idx val="14"/>
          <c:order val="10"/>
          <c:tx>
            <c:strRef>
              <c:f>'Beispiel 1'!$X$55</c:f>
              <c:strCache>
                <c:ptCount val="1"/>
              </c:strCache>
            </c:strRef>
          </c:tx>
          <c:spPr>
            <a:ln w="19050" cap="rnd">
              <a:solidFill>
                <a:srgbClr val="C00000"/>
              </a:solidFill>
              <a:round/>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1-C3BB-4C9F-A085-385DB54205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1'!$V$55:$W$55</c:f>
              <c:numCache>
                <c:formatCode>General</c:formatCode>
                <c:ptCount val="2"/>
                <c:pt idx="0">
                  <c:v>0</c:v>
                </c:pt>
                <c:pt idx="1">
                  <c:v>0</c:v>
                </c:pt>
              </c:numCache>
            </c:numRef>
          </c:xVal>
          <c:yVal>
            <c:numRef>
              <c:f>'Beispiel 1'!$V$56:$W$56</c:f>
              <c:numCache>
                <c:formatCode>General</c:formatCode>
                <c:ptCount val="2"/>
                <c:pt idx="0">
                  <c:v>-5</c:v>
                </c:pt>
                <c:pt idx="1">
                  <c:v>-5</c:v>
                </c:pt>
              </c:numCache>
            </c:numRef>
          </c:yVal>
          <c:smooth val="0"/>
          <c:extLst>
            <c:ext xmlns:c16="http://schemas.microsoft.com/office/drawing/2014/chart" uri="{C3380CC4-5D6E-409C-BE32-E72D297353CC}">
              <c16:uniqueId val="{00000032-C3BB-4C9F-A085-385DB5420572}"/>
            </c:ext>
          </c:extLst>
        </c:ser>
        <c:ser>
          <c:idx val="15"/>
          <c:order val="11"/>
          <c:tx>
            <c:strRef>
              <c:f>'Beispiel 1'!$X$57</c:f>
              <c:strCache>
                <c:ptCount val="1"/>
              </c:strCache>
            </c:strRef>
          </c:tx>
          <c:spPr>
            <a:ln w="19050" cap="rnd">
              <a:solidFill>
                <a:srgbClr val="C00000"/>
              </a:solidFill>
              <a:round/>
              <a:headEnd type="none"/>
              <a:tailEnd type="triangle"/>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3-C3BB-4C9F-A085-385DB54205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'Beispiel 1'!$V$57:$W$57</c:f>
              <c:numCache>
                <c:formatCode>General</c:formatCode>
                <c:ptCount val="2"/>
                <c:pt idx="0">
                  <c:v>0</c:v>
                </c:pt>
                <c:pt idx="1">
                  <c:v>0</c:v>
                </c:pt>
              </c:numCache>
            </c:numRef>
          </c:xVal>
          <c:yVal>
            <c:numRef>
              <c:f>'Beispiel 1'!$V$58:$W$58</c:f>
              <c:numCache>
                <c:formatCode>General</c:formatCode>
                <c:ptCount val="2"/>
                <c:pt idx="0">
                  <c:v>-5</c:v>
                </c:pt>
                <c:pt idx="1">
                  <c:v>-5</c:v>
                </c:pt>
              </c:numCache>
            </c:numRef>
          </c:yVal>
          <c:smooth val="0"/>
          <c:extLst>
            <c:ext xmlns:c16="http://schemas.microsoft.com/office/drawing/2014/chart" uri="{C3380CC4-5D6E-409C-BE32-E72D297353CC}">
              <c16:uniqueId val="{00000034-C3BB-4C9F-A085-385DB5420572}"/>
            </c:ext>
          </c:extLst>
        </c:ser>
        <c:ser>
          <c:idx val="7"/>
          <c:order val="12"/>
          <c:tx>
            <c:v>Bearing Slab 01 Fixed</c:v>
          </c:tx>
          <c:spPr>
            <a:ln w="19050" cap="rnd">
              <a:solidFill>
                <a:schemeClr val="accent2">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1'!$Z$51</c:f>
              <c:numCache>
                <c:formatCode>General</c:formatCode>
                <c:ptCount val="1"/>
                <c:pt idx="0">
                  <c:v>5.7125000000000004</c:v>
                </c:pt>
              </c:numCache>
            </c:numRef>
          </c:xVal>
          <c:yVal>
            <c:numRef>
              <c:f>'Beispiel 1'!$Z$52</c:f>
              <c:numCache>
                <c:formatCode>General</c:formatCode>
                <c:ptCount val="1"/>
                <c:pt idx="0">
                  <c:v>2.5</c:v>
                </c:pt>
              </c:numCache>
            </c:numRef>
          </c:yVal>
          <c:smooth val="0"/>
          <c:extLst>
            <c:ext xmlns:c16="http://schemas.microsoft.com/office/drawing/2014/chart" uri="{C3380CC4-5D6E-409C-BE32-E72D297353CC}">
              <c16:uniqueId val="{00000035-C3BB-4C9F-A085-385DB5420572}"/>
            </c:ext>
          </c:extLst>
        </c:ser>
        <c:ser>
          <c:idx val="8"/>
          <c:order val="13"/>
          <c:tx>
            <c:v>Bearing Slab 01 Hinged</c:v>
          </c:tx>
          <c:spPr>
            <a:ln w="19050" cap="rnd">
              <a:solidFill>
                <a:schemeClr val="accent3">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1'!$AA$51</c:f>
              <c:numCache>
                <c:formatCode>General</c:formatCode>
                <c:ptCount val="1"/>
                <c:pt idx="0">
                  <c:v>5.7125000000000004</c:v>
                </c:pt>
              </c:numCache>
            </c:numRef>
          </c:xVal>
          <c:yVal>
            <c:numRef>
              <c:f>'Beispiel 1'!$AA$52</c:f>
              <c:numCache>
                <c:formatCode>General</c:formatCode>
                <c:ptCount val="1"/>
                <c:pt idx="0">
                  <c:v>-5</c:v>
                </c:pt>
              </c:numCache>
            </c:numRef>
          </c:yVal>
          <c:smooth val="0"/>
          <c:extLst>
            <c:ext xmlns:c16="http://schemas.microsoft.com/office/drawing/2014/chart" uri="{C3380CC4-5D6E-409C-BE32-E72D297353CC}">
              <c16:uniqueId val="{00000036-C3BB-4C9F-A085-385DB5420572}"/>
            </c:ext>
          </c:extLst>
        </c:ser>
        <c:ser>
          <c:idx val="9"/>
          <c:order val="14"/>
          <c:tx>
            <c:v>Bearing Slab 02 Fixed</c:v>
          </c:tx>
          <c:spPr>
            <a:ln w="19050" cap="rnd">
              <a:solidFill>
                <a:schemeClr val="accent4">
                  <a:lumMod val="60000"/>
                </a:schemeClr>
              </a:solidFill>
              <a:round/>
            </a:ln>
            <a:effectLst/>
          </c:spPr>
          <c:marker>
            <c:symbol val="picture"/>
            <c:spPr>
              <a:blipFill>
                <a:blip xmlns:r="http://schemas.openxmlformats.org/officeDocument/2006/relationships" r:embed="rId1"/>
                <a:stretch>
                  <a:fillRect/>
                </a:stretch>
              </a:blipFill>
              <a:ln w="25400">
                <a:noFill/>
              </a:ln>
              <a:effectLst/>
            </c:spPr>
          </c:marker>
          <c:dLbls>
            <c:delete val="1"/>
          </c:dLbls>
          <c:xVal>
            <c:numRef>
              <c:f>'Beispiel 1'!$Z$53</c:f>
              <c:numCache>
                <c:formatCode>General</c:formatCode>
                <c:ptCount val="1"/>
                <c:pt idx="0">
                  <c:v>5.7125000000000004</c:v>
                </c:pt>
              </c:numCache>
            </c:numRef>
          </c:xVal>
          <c:yVal>
            <c:numRef>
              <c:f>'Beispiel 1'!$Z$54</c:f>
              <c:numCache>
                <c:formatCode>General</c:formatCode>
                <c:ptCount val="1"/>
                <c:pt idx="0">
                  <c:v>5.3450000000000006</c:v>
                </c:pt>
              </c:numCache>
            </c:numRef>
          </c:yVal>
          <c:smooth val="0"/>
          <c:extLst>
            <c:ext xmlns:c16="http://schemas.microsoft.com/office/drawing/2014/chart" uri="{C3380CC4-5D6E-409C-BE32-E72D297353CC}">
              <c16:uniqueId val="{00000037-C3BB-4C9F-A085-385DB5420572}"/>
            </c:ext>
          </c:extLst>
        </c:ser>
        <c:ser>
          <c:idx val="10"/>
          <c:order val="15"/>
          <c:tx>
            <c:v>Bearing Slab 02 Hinged</c:v>
          </c:tx>
          <c:spPr>
            <a:ln w="19050" cap="rnd">
              <a:solidFill>
                <a:schemeClr val="accent5">
                  <a:lumMod val="6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1'!$AA$53</c:f>
              <c:numCache>
                <c:formatCode>General</c:formatCode>
                <c:ptCount val="1"/>
                <c:pt idx="0">
                  <c:v>5.7125000000000004</c:v>
                </c:pt>
              </c:numCache>
            </c:numRef>
          </c:xVal>
          <c:yVal>
            <c:numRef>
              <c:f>'Beispiel 1'!$AA$54</c:f>
              <c:numCache>
                <c:formatCode>General</c:formatCode>
                <c:ptCount val="1"/>
                <c:pt idx="0">
                  <c:v>-5</c:v>
                </c:pt>
              </c:numCache>
            </c:numRef>
          </c:yVal>
          <c:smooth val="0"/>
          <c:extLst>
            <c:ext xmlns:c16="http://schemas.microsoft.com/office/drawing/2014/chart" uri="{C3380CC4-5D6E-409C-BE32-E72D297353CC}">
              <c16:uniqueId val="{00000038-C3BB-4C9F-A085-385DB5420572}"/>
            </c:ext>
          </c:extLst>
        </c:ser>
        <c:ser>
          <c:idx val="16"/>
          <c:order val="16"/>
          <c:tx>
            <c:v>Bearing Slab 03 Fixed</c:v>
          </c:tx>
          <c:spPr>
            <a:ln w="19050" cap="rnd">
              <a:solidFill>
                <a:schemeClr val="accent5">
                  <a:lumMod val="80000"/>
                  <a:lumOff val="2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1'!$Z$55</c:f>
              <c:numCache>
                <c:formatCode>General</c:formatCode>
                <c:ptCount val="1"/>
                <c:pt idx="0">
                  <c:v>0</c:v>
                </c:pt>
              </c:numCache>
            </c:numRef>
          </c:xVal>
          <c:yVal>
            <c:numRef>
              <c:f>'Beispiel 1'!$Z$56</c:f>
              <c:numCache>
                <c:formatCode>General</c:formatCode>
                <c:ptCount val="1"/>
                <c:pt idx="0">
                  <c:v>-5</c:v>
                </c:pt>
              </c:numCache>
            </c:numRef>
          </c:yVal>
          <c:smooth val="0"/>
          <c:extLst>
            <c:ext xmlns:c16="http://schemas.microsoft.com/office/drawing/2014/chart" uri="{C3380CC4-5D6E-409C-BE32-E72D297353CC}">
              <c16:uniqueId val="{00000039-C3BB-4C9F-A085-385DB5420572}"/>
            </c:ext>
          </c:extLst>
        </c:ser>
        <c:ser>
          <c:idx val="17"/>
          <c:order val="17"/>
          <c:tx>
            <c:v>Bearing Slab 03 Hinged</c:v>
          </c:tx>
          <c:spPr>
            <a:ln w="19050" cap="rnd">
              <a:solidFill>
                <a:schemeClr val="accent6">
                  <a:lumMod val="80000"/>
                  <a:lumOff val="2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1'!$AA$55</c:f>
              <c:numCache>
                <c:formatCode>General</c:formatCode>
                <c:ptCount val="1"/>
                <c:pt idx="0">
                  <c:v>0</c:v>
                </c:pt>
              </c:numCache>
            </c:numRef>
          </c:xVal>
          <c:yVal>
            <c:numRef>
              <c:f>'Beispiel 1'!$AA$56</c:f>
              <c:numCache>
                <c:formatCode>General</c:formatCode>
                <c:ptCount val="1"/>
                <c:pt idx="0">
                  <c:v>-5</c:v>
                </c:pt>
              </c:numCache>
            </c:numRef>
          </c:yVal>
          <c:smooth val="0"/>
          <c:extLst>
            <c:ext xmlns:c16="http://schemas.microsoft.com/office/drawing/2014/chart" uri="{C3380CC4-5D6E-409C-BE32-E72D297353CC}">
              <c16:uniqueId val="{0000003A-C3BB-4C9F-A085-385DB5420572}"/>
            </c:ext>
          </c:extLst>
        </c:ser>
        <c:ser>
          <c:idx val="18"/>
          <c:order val="18"/>
          <c:tx>
            <c:v>Bearing Slab 04 Fixed</c:v>
          </c:tx>
          <c:spPr>
            <a:ln w="19050" cap="rnd">
              <a:solidFill>
                <a:schemeClr val="accent1">
                  <a:lumMod val="80000"/>
                </a:schemeClr>
              </a:solidFill>
              <a:round/>
            </a:ln>
            <a:effectLst/>
          </c:spPr>
          <c:marker>
            <c:symbol val="picture"/>
            <c:spPr>
              <a:blipFill>
                <a:blip xmlns:r="http://schemas.openxmlformats.org/officeDocument/2006/relationships" r:embed="rId3"/>
                <a:stretch>
                  <a:fillRect/>
                </a:stretch>
              </a:blipFill>
              <a:ln w="25400">
                <a:noFill/>
              </a:ln>
              <a:effectLst/>
            </c:spPr>
          </c:marker>
          <c:dLbls>
            <c:delete val="1"/>
          </c:dLbls>
          <c:xVal>
            <c:numRef>
              <c:f>'Beispiel 1'!$Z$57</c:f>
              <c:numCache>
                <c:formatCode>General</c:formatCode>
                <c:ptCount val="1"/>
                <c:pt idx="0">
                  <c:v>0</c:v>
                </c:pt>
              </c:numCache>
            </c:numRef>
          </c:xVal>
          <c:yVal>
            <c:numRef>
              <c:f>'Beispiel 1'!$Z$58</c:f>
              <c:numCache>
                <c:formatCode>General</c:formatCode>
                <c:ptCount val="1"/>
                <c:pt idx="0">
                  <c:v>-5</c:v>
                </c:pt>
              </c:numCache>
            </c:numRef>
          </c:yVal>
          <c:smooth val="0"/>
          <c:extLst>
            <c:ext xmlns:c16="http://schemas.microsoft.com/office/drawing/2014/chart" uri="{C3380CC4-5D6E-409C-BE32-E72D297353CC}">
              <c16:uniqueId val="{0000003B-C3BB-4C9F-A085-385DB5420572}"/>
            </c:ext>
          </c:extLst>
        </c:ser>
        <c:ser>
          <c:idx val="19"/>
          <c:order val="19"/>
          <c:tx>
            <c:v>Bearing Slab 04 Hinged</c:v>
          </c:tx>
          <c:spPr>
            <a:ln w="19050" cap="rnd">
              <a:solidFill>
                <a:schemeClr val="accent2">
                  <a:lumMod val="80000"/>
                </a:schemeClr>
              </a:solidFill>
              <a:round/>
            </a:ln>
            <a:effectLst/>
          </c:spPr>
          <c:marker>
            <c:symbol val="picture"/>
            <c:spPr>
              <a:blipFill>
                <a:blip xmlns:r="http://schemas.openxmlformats.org/officeDocument/2006/relationships" r:embed="rId2"/>
                <a:stretch>
                  <a:fillRect/>
                </a:stretch>
              </a:blipFill>
              <a:ln w="25400">
                <a:noFill/>
              </a:ln>
              <a:effectLst/>
            </c:spPr>
          </c:marker>
          <c:dLbls>
            <c:delete val="1"/>
          </c:dLbls>
          <c:xVal>
            <c:numRef>
              <c:f>'Beispiel 1'!$AA$57</c:f>
              <c:numCache>
                <c:formatCode>General</c:formatCode>
                <c:ptCount val="1"/>
                <c:pt idx="0">
                  <c:v>0</c:v>
                </c:pt>
              </c:numCache>
            </c:numRef>
          </c:xVal>
          <c:yVal>
            <c:numRef>
              <c:f>'Beispiel 1'!$AA$58</c:f>
              <c:numCache>
                <c:formatCode>General</c:formatCode>
                <c:ptCount val="1"/>
                <c:pt idx="0">
                  <c:v>-5</c:v>
                </c:pt>
              </c:numCache>
            </c:numRef>
          </c:yVal>
          <c:smooth val="0"/>
          <c:extLst>
            <c:ext xmlns:c16="http://schemas.microsoft.com/office/drawing/2014/chart" uri="{C3380CC4-5D6E-409C-BE32-E72D297353CC}">
              <c16:uniqueId val="{0000003C-C3BB-4C9F-A085-385DB5420572}"/>
            </c:ext>
          </c:extLst>
        </c:ser>
        <c:dLbls>
          <c:showLegendKey val="0"/>
          <c:showVal val="1"/>
          <c:showCatName val="0"/>
          <c:showSerName val="0"/>
          <c:showPercent val="0"/>
          <c:showBubbleSize val="0"/>
        </c:dLbls>
        <c:axId val="467690536"/>
        <c:axId val="467692104"/>
      </c:scatterChart>
      <c:valAx>
        <c:axId val="467690536"/>
        <c:scaling>
          <c:orientation val="minMax"/>
        </c:scaling>
        <c:delete val="0"/>
        <c:axPos val="b"/>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92104"/>
        <c:crosses val="autoZero"/>
        <c:crossBetween val="midCat"/>
        <c:majorUnit val="2"/>
      </c:valAx>
      <c:valAx>
        <c:axId val="467692104"/>
        <c:scaling>
          <c:orientation val="minMax"/>
          <c:min val="0"/>
        </c:scaling>
        <c:delete val="0"/>
        <c:axPos val="l"/>
        <c:majorGridlines>
          <c:spPr>
            <a:ln w="9525" cap="flat" cmpd="sng" algn="ctr">
              <a:noFill/>
              <a:round/>
            </a:ln>
            <a:effectLst/>
          </c:spPr>
        </c:majorGridlines>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90536"/>
        <c:crosses val="autoZero"/>
        <c:crossBetween val="midCat"/>
        <c:majorUnit val="2"/>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30873015873016E-2"/>
          <c:y val="4.8506944444444443E-2"/>
          <c:w val="0.85232460317460312"/>
          <c:h val="0.77683159722222206"/>
        </c:manualLayout>
      </c:layout>
      <c:scatterChart>
        <c:scatterStyle val="lineMarker"/>
        <c:varyColors val="0"/>
        <c:ser>
          <c:idx val="3"/>
          <c:order val="0"/>
          <c:tx>
            <c:strRef>
              <c:f>'Beispiel 1'!$T$67</c:f>
              <c:strCache>
                <c:ptCount val="1"/>
                <c:pt idx="0">
                  <c:v>Outline</c:v>
                </c:pt>
              </c:strCache>
            </c:strRef>
          </c:tx>
          <c:spPr>
            <a:ln w="19050" cap="rnd">
              <a:noFill/>
              <a:round/>
            </a:ln>
            <a:effectLst/>
          </c:spPr>
          <c:marker>
            <c:symbol val="none"/>
          </c:marker>
          <c:xVal>
            <c:numRef>
              <c:f>'Beispiel 1'!$V$67:$W$67</c:f>
              <c:numCache>
                <c:formatCode>0.00</c:formatCode>
                <c:ptCount val="2"/>
                <c:pt idx="0">
                  <c:v>4.7419000253166885</c:v>
                </c:pt>
                <c:pt idx="1">
                  <c:v>-4.7419000253166885</c:v>
                </c:pt>
              </c:numCache>
            </c:numRef>
          </c:xVal>
          <c:yVal>
            <c:numRef>
              <c:f>'Beispiel 1'!$V$68:$W$68</c:f>
              <c:numCache>
                <c:formatCode>0.00</c:formatCode>
                <c:ptCount val="2"/>
                <c:pt idx="0">
                  <c:v>2.645</c:v>
                </c:pt>
                <c:pt idx="1">
                  <c:v>2.645</c:v>
                </c:pt>
              </c:numCache>
            </c:numRef>
          </c:yVal>
          <c:smooth val="0"/>
          <c:extLst>
            <c:ext xmlns:c16="http://schemas.microsoft.com/office/drawing/2014/chart" uri="{C3380CC4-5D6E-409C-BE32-E72D297353CC}">
              <c16:uniqueId val="{00000000-1E33-444A-AEDF-3DED8A2FE9E6}"/>
            </c:ext>
          </c:extLst>
        </c:ser>
        <c:ser>
          <c:idx val="4"/>
          <c:order val="1"/>
          <c:tx>
            <c:strRef>
              <c:f>'Beispiel 1'!$T$70</c:f>
              <c:strCache>
                <c:ptCount val="1"/>
                <c:pt idx="0">
                  <c:v>Wall</c:v>
                </c:pt>
              </c:strCache>
            </c:strRef>
          </c:tx>
          <c:spPr>
            <a:ln w="19050" cap="rnd">
              <a:solidFill>
                <a:sysClr val="windowText" lastClr="000000"/>
              </a:solidFill>
              <a:round/>
            </a:ln>
            <a:effectLst/>
          </c:spPr>
          <c:marker>
            <c:symbol val="none"/>
          </c:marker>
          <c:xVal>
            <c:numRef>
              <c:f>'Beispiel 1'!$V$70:$W$70</c:f>
              <c:numCache>
                <c:formatCode>0.00</c:formatCode>
                <c:ptCount val="2"/>
                <c:pt idx="0">
                  <c:v>0</c:v>
                </c:pt>
                <c:pt idx="1">
                  <c:v>0</c:v>
                </c:pt>
              </c:numCache>
            </c:numRef>
          </c:xVal>
          <c:yVal>
            <c:numRef>
              <c:f>'Beispiel 1'!$V$71:$W$71</c:f>
              <c:numCache>
                <c:formatCode>0.00</c:formatCode>
                <c:ptCount val="2"/>
                <c:pt idx="0">
                  <c:v>0</c:v>
                </c:pt>
                <c:pt idx="1">
                  <c:v>2.645</c:v>
                </c:pt>
              </c:numCache>
            </c:numRef>
          </c:yVal>
          <c:smooth val="0"/>
          <c:extLst>
            <c:ext xmlns:c16="http://schemas.microsoft.com/office/drawing/2014/chart" uri="{C3380CC4-5D6E-409C-BE32-E72D297353CC}">
              <c16:uniqueId val="{00000001-1E33-444A-AEDF-3DED8A2FE9E6}"/>
            </c:ext>
          </c:extLst>
        </c:ser>
        <c:ser>
          <c:idx val="5"/>
          <c:order val="2"/>
          <c:tx>
            <c:strRef>
              <c:f>'Beispiel 1'!$T$63</c:f>
              <c:strCache>
                <c:ptCount val="1"/>
                <c:pt idx="0">
                  <c:v>Slab rotation</c:v>
                </c:pt>
              </c:strCache>
            </c:strRef>
          </c:tx>
          <c:spPr>
            <a:ln w="19050" cap="rnd">
              <a:solidFill>
                <a:schemeClr val="accent2"/>
              </a:solidFill>
              <a:round/>
            </a:ln>
            <a:effectLst/>
          </c:spPr>
          <c:marker>
            <c:symbol val="none"/>
          </c:marker>
          <c:xVal>
            <c:numRef>
              <c:f>'Beispiel 1'!$V$64:$Y$64</c:f>
              <c:numCache>
                <c:formatCode>0.00</c:formatCode>
                <c:ptCount val="4"/>
                <c:pt idx="0">
                  <c:v>0</c:v>
                </c:pt>
                <c:pt idx="1">
                  <c:v>1.5169584165147469</c:v>
                </c:pt>
                <c:pt idx="2">
                  <c:v>-4.1233913263623378</c:v>
                </c:pt>
                <c:pt idx="3">
                  <c:v>0</c:v>
                </c:pt>
              </c:numCache>
            </c:numRef>
          </c:xVal>
          <c:yVal>
            <c:numRef>
              <c:f>'Beispiel 1'!$V$65:$Y$65</c:f>
              <c:numCache>
                <c:formatCode>0.00</c:formatCode>
                <c:ptCount val="4"/>
                <c:pt idx="0">
                  <c:v>0</c:v>
                </c:pt>
                <c:pt idx="1">
                  <c:v>0</c:v>
                </c:pt>
                <c:pt idx="2">
                  <c:v>2.645</c:v>
                </c:pt>
                <c:pt idx="3">
                  <c:v>2.645</c:v>
                </c:pt>
              </c:numCache>
            </c:numRef>
          </c:yVal>
          <c:smooth val="0"/>
          <c:extLst>
            <c:ext xmlns:c16="http://schemas.microsoft.com/office/drawing/2014/chart" uri="{C3380CC4-5D6E-409C-BE32-E72D297353CC}">
              <c16:uniqueId val="{00000002-1E33-444A-AEDF-3DED8A2FE9E6}"/>
            </c:ext>
          </c:extLst>
        </c:ser>
        <c:ser>
          <c:idx val="1"/>
          <c:order val="3"/>
          <c:tx>
            <c:strRef>
              <c:f>'Beispiel 1'!$T$67</c:f>
              <c:strCache>
                <c:ptCount val="1"/>
                <c:pt idx="0">
                  <c:v>Outline</c:v>
                </c:pt>
              </c:strCache>
            </c:strRef>
          </c:tx>
          <c:spPr>
            <a:ln w="19050" cap="rnd">
              <a:noFill/>
              <a:round/>
            </a:ln>
            <a:effectLst/>
          </c:spPr>
          <c:marker>
            <c:symbol val="none"/>
          </c:marker>
          <c:xVal>
            <c:numRef>
              <c:f>'Beispiel 1'!$V$67:$W$67</c:f>
              <c:numCache>
                <c:formatCode>0.00</c:formatCode>
                <c:ptCount val="2"/>
                <c:pt idx="0">
                  <c:v>4.7419000253166885</c:v>
                </c:pt>
                <c:pt idx="1">
                  <c:v>-4.7419000253166885</c:v>
                </c:pt>
              </c:numCache>
            </c:numRef>
          </c:xVal>
          <c:yVal>
            <c:numRef>
              <c:f>'Beispiel 1'!$V$68:$W$68</c:f>
              <c:numCache>
                <c:formatCode>0.00</c:formatCode>
                <c:ptCount val="2"/>
                <c:pt idx="0">
                  <c:v>2.645</c:v>
                </c:pt>
                <c:pt idx="1">
                  <c:v>2.645</c:v>
                </c:pt>
              </c:numCache>
            </c:numRef>
          </c:yVal>
          <c:smooth val="0"/>
          <c:extLst>
            <c:ext xmlns:c16="http://schemas.microsoft.com/office/drawing/2014/chart" uri="{C3380CC4-5D6E-409C-BE32-E72D297353CC}">
              <c16:uniqueId val="{00000003-1E33-444A-AEDF-3DED8A2FE9E6}"/>
            </c:ext>
          </c:extLst>
        </c:ser>
        <c:ser>
          <c:idx val="2"/>
          <c:order val="4"/>
          <c:tx>
            <c:strRef>
              <c:f>'Beispiel 1'!$T$70</c:f>
              <c:strCache>
                <c:ptCount val="1"/>
                <c:pt idx="0">
                  <c:v>Wall</c:v>
                </c:pt>
              </c:strCache>
            </c:strRef>
          </c:tx>
          <c:spPr>
            <a:ln w="19050" cap="rnd">
              <a:solidFill>
                <a:sysClr val="windowText" lastClr="000000"/>
              </a:solidFill>
              <a:round/>
            </a:ln>
            <a:effectLst/>
          </c:spPr>
          <c:marker>
            <c:symbol val="none"/>
          </c:marker>
          <c:xVal>
            <c:numRef>
              <c:f>'Beispiel 1'!$V$70:$W$70</c:f>
              <c:numCache>
                <c:formatCode>0.00</c:formatCode>
                <c:ptCount val="2"/>
                <c:pt idx="0">
                  <c:v>0</c:v>
                </c:pt>
                <c:pt idx="1">
                  <c:v>0</c:v>
                </c:pt>
              </c:numCache>
            </c:numRef>
          </c:xVal>
          <c:yVal>
            <c:numRef>
              <c:f>'Beispiel 1'!$V$71:$W$71</c:f>
              <c:numCache>
                <c:formatCode>0.00</c:formatCode>
                <c:ptCount val="2"/>
                <c:pt idx="0">
                  <c:v>0</c:v>
                </c:pt>
                <c:pt idx="1">
                  <c:v>2.645</c:v>
                </c:pt>
              </c:numCache>
            </c:numRef>
          </c:yVal>
          <c:smooth val="0"/>
          <c:extLst>
            <c:ext xmlns:c16="http://schemas.microsoft.com/office/drawing/2014/chart" uri="{C3380CC4-5D6E-409C-BE32-E72D297353CC}">
              <c16:uniqueId val="{00000004-1E33-444A-AEDF-3DED8A2FE9E6}"/>
            </c:ext>
          </c:extLst>
        </c:ser>
        <c:ser>
          <c:idx val="0"/>
          <c:order val="5"/>
          <c:tx>
            <c:strRef>
              <c:f>'Beispiel 1'!$T$63</c:f>
              <c:strCache>
                <c:ptCount val="1"/>
                <c:pt idx="0">
                  <c:v>Slab rotation</c:v>
                </c:pt>
              </c:strCache>
            </c:strRef>
          </c:tx>
          <c:spPr>
            <a:ln w="19050" cap="rnd">
              <a:solidFill>
                <a:srgbClr val="B30000"/>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5-1E33-444A-AEDF-3DED8A2FE9E6}"/>
                </c:ext>
              </c:extLst>
            </c:dLbl>
            <c:dLbl>
              <c:idx val="1"/>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E33-444A-AEDF-3DED8A2FE9E6}"/>
                </c:ext>
              </c:extLst>
            </c:dLbl>
            <c:dLbl>
              <c:idx val="2"/>
              <c:dLblPos val="l"/>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E33-444A-AEDF-3DED8A2FE9E6}"/>
                </c:ext>
              </c:extLst>
            </c:dLbl>
            <c:dLbl>
              <c:idx val="3"/>
              <c:delete val="1"/>
              <c:extLst>
                <c:ext xmlns:c15="http://schemas.microsoft.com/office/drawing/2012/chart" uri="{CE6537A1-D6FC-4f65-9D91-7224C49458BB}"/>
                <c:ext xmlns:c16="http://schemas.microsoft.com/office/drawing/2014/chart" uri="{C3380CC4-5D6E-409C-BE32-E72D297353CC}">
                  <c16:uniqueId val="{00000008-1E33-444A-AEDF-3DED8A2FE9E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'Beispiel 1'!$V$64:$Y$64</c:f>
              <c:numCache>
                <c:formatCode>0.00</c:formatCode>
                <c:ptCount val="4"/>
                <c:pt idx="0">
                  <c:v>0</c:v>
                </c:pt>
                <c:pt idx="1">
                  <c:v>1.5169584165147469</c:v>
                </c:pt>
                <c:pt idx="2">
                  <c:v>-4.1233913263623378</c:v>
                </c:pt>
                <c:pt idx="3">
                  <c:v>0</c:v>
                </c:pt>
              </c:numCache>
            </c:numRef>
          </c:xVal>
          <c:yVal>
            <c:numRef>
              <c:f>'Beispiel 1'!$V$65:$Y$65</c:f>
              <c:numCache>
                <c:formatCode>0.00</c:formatCode>
                <c:ptCount val="4"/>
                <c:pt idx="0">
                  <c:v>0</c:v>
                </c:pt>
                <c:pt idx="1">
                  <c:v>0</c:v>
                </c:pt>
                <c:pt idx="2">
                  <c:v>2.645</c:v>
                </c:pt>
                <c:pt idx="3">
                  <c:v>2.645</c:v>
                </c:pt>
              </c:numCache>
            </c:numRef>
          </c:yVal>
          <c:smooth val="0"/>
          <c:extLst>
            <c:ext xmlns:c16="http://schemas.microsoft.com/office/drawing/2014/chart" uri="{C3380CC4-5D6E-409C-BE32-E72D297353CC}">
              <c16:uniqueId val="{00000009-1E33-444A-AEDF-3DED8A2FE9E6}"/>
            </c:ext>
          </c:extLst>
        </c:ser>
        <c:dLbls>
          <c:showLegendKey val="0"/>
          <c:showVal val="0"/>
          <c:showCatName val="0"/>
          <c:showSerName val="0"/>
          <c:showPercent val="0"/>
          <c:showBubbleSize val="0"/>
        </c:dLbls>
        <c:axId val="467687792"/>
        <c:axId val="467686224"/>
      </c:scatterChart>
      <c:valAx>
        <c:axId val="46768779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AT" b="1">
                    <a:solidFill>
                      <a:sysClr val="windowText" lastClr="000000"/>
                    </a:solidFill>
                  </a:rPr>
                  <a:t>Biegemoment durch Deckenverdrehung </a:t>
                </a:r>
                <a:r>
                  <a:rPr lang="de-AT" b="1" baseline="0">
                    <a:solidFill>
                      <a:sysClr val="windowText" lastClr="000000"/>
                    </a:solidFill>
                  </a:rPr>
                  <a:t>[kNm/m]</a:t>
                </a:r>
                <a:endParaRPr lang="de-AT"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in"/>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6224"/>
        <c:crosses val="autoZero"/>
        <c:crossBetween val="midCat"/>
      </c:valAx>
      <c:valAx>
        <c:axId val="467686224"/>
        <c:scaling>
          <c:orientation val="minMax"/>
          <c:min val="0"/>
        </c:scaling>
        <c:delete val="0"/>
        <c:axPos val="l"/>
        <c:numFmt formatCode="0.00" sourceLinked="1"/>
        <c:majorTickMark val="cross"/>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467687792"/>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30" dropStyle="combo" dx="16" fmlaLink="rF1.BrickProductSelection01" fmlaRange="rF1.BrickList01" sel="6" val="0"/>
</file>

<file path=xl/ctrlProps/ctrlProp10.xml><?xml version="1.0" encoding="utf-8"?>
<formControlPr xmlns="http://schemas.microsoft.com/office/spreadsheetml/2009/9/main" objectType="Drop" dropLines="20" dropStyle="combo" dx="16" fmlaLink="rF1.ConcreteSelection03" fmlaRange="rF1.ConcreteSlabList03" sel="1" val="0"/>
</file>

<file path=xl/ctrlProps/ctrlProp100.xml><?xml version="1.0" encoding="utf-8"?>
<formControlPr xmlns="http://schemas.microsoft.com/office/spreadsheetml/2009/9/main" objectType="Drop" dropLines="20" dropStyle="combo" dx="16" fmlaLink="rF1.WallBearingBottomSelection01" fmlaRange="rL1.Wall01List" sel="2" val="0"/>
</file>

<file path=xl/ctrlProps/ctrlProp101.xml><?xml version="1.0" encoding="utf-8"?>
<formControlPr xmlns="http://schemas.microsoft.com/office/spreadsheetml/2009/9/main" objectType="Drop" dropLines="20" dropStyle="combo" dx="16" fmlaLink="rF1.WallBearingBottomSelection02" fmlaRange="rL1.Wall02List" sel="2" val="0"/>
</file>

<file path=xl/ctrlProps/ctrlProp102.xml><?xml version="1.0" encoding="utf-8"?>
<formControlPr xmlns="http://schemas.microsoft.com/office/spreadsheetml/2009/9/main" objectType="Drop" dropLines="20" dropStyle="combo" dx="16" fmlaLink="rF1.FireResClassSelection" fmlaRange="rL6.FireResClassList" sel="2" val="0"/>
</file>

<file path=xl/ctrlProps/ctrlProp103.xml><?xml version="1.0" encoding="utf-8"?>
<formControlPr xmlns="http://schemas.microsoft.com/office/spreadsheetml/2009/9/main" objectType="Drop" dropLines="30" dropStyle="combo" dx="16" fmlaLink="rF1.BrickProductSelection01" fmlaRange="rF1.BrickList01" sel="1" val="0"/>
</file>

<file path=xl/ctrlProps/ctrlProp104.xml><?xml version="1.0" encoding="utf-8"?>
<formControlPr xmlns="http://schemas.microsoft.com/office/spreadsheetml/2009/9/main" objectType="Drop" dropLines="30" dropStyle="combo" dx="16" fmlaLink="rF1.BrickProductSelection02" fmlaRange="rF1.BrickList02" sel="17" val="0"/>
</file>

<file path=xl/ctrlProps/ctrlProp105.xml><?xml version="1.0" encoding="utf-8"?>
<formControlPr xmlns="http://schemas.microsoft.com/office/spreadsheetml/2009/9/main" objectType="Drop" dropLines="30" dropStyle="combo" dx="16" fmlaLink="rF1.BrickProductSelection03" fmlaRange="rF1.BrickList03" sel="17" val="0"/>
</file>

<file path=xl/ctrlProps/ctrlProp106.xml><?xml version="1.0" encoding="utf-8"?>
<formControlPr xmlns="http://schemas.microsoft.com/office/spreadsheetml/2009/9/main" objectType="Drop" dropLines="20" dropStyle="combo" dx="16" fmlaLink="rF1.WallBearingTopSelection02" fmlaRange="rL1.Wall02List" sel="2" val="0"/>
</file>

<file path=xl/ctrlProps/ctrlProp107.xml><?xml version="1.0" encoding="utf-8"?>
<formControlPr xmlns="http://schemas.microsoft.com/office/spreadsheetml/2009/9/main" objectType="Drop" dropLines="20" dropStyle="combo" dx="16" fmlaLink="rF1.WallBearingTopSelection03" fmlaRange="rF1.WallBearingList03" sel="2" val="0"/>
</file>

<file path=xl/ctrlProps/ctrlProp108.xml><?xml version="1.0" encoding="utf-8"?>
<formControlPr xmlns="http://schemas.microsoft.com/office/spreadsheetml/2009/9/main" objectType="Drop" dropLines="20" dropStyle="combo" dx="16" fmlaLink="rF1.SlabTypeSelection01" fmlaRange="rL1.Slab01List" sel="2" val="0"/>
</file>

<file path=xl/ctrlProps/ctrlProp109.xml><?xml version="1.0" encoding="utf-8"?>
<formControlPr xmlns="http://schemas.microsoft.com/office/spreadsheetml/2009/9/main" objectType="Drop" dropLines="20" dropStyle="combo" dx="16" fmlaLink="rF1.SlabBearingSelection01" fmlaRange="rF1.SlabBearingList01" sel="1" val="0"/>
</file>

<file path=xl/ctrlProps/ctrlProp11.xml><?xml version="1.0" encoding="utf-8"?>
<formControlPr xmlns="http://schemas.microsoft.com/office/spreadsheetml/2009/9/main" objectType="Drop" dropLines="20" dropStyle="combo" dx="16" fmlaLink="rF1.ConcreteSelection04" fmlaRange="rF1.ConcreteSlabList04" sel="1" val="0"/>
</file>

<file path=xl/ctrlProps/ctrlProp110.xml><?xml version="1.0" encoding="utf-8"?>
<formControlPr xmlns="http://schemas.microsoft.com/office/spreadsheetml/2009/9/main" objectType="Drop" dropLines="20" dropStyle="combo" dx="16" fmlaLink="rF1.ConcreteSelection01" fmlaRange="rF1.ConcreteSlabList01" sel="3" val="0"/>
</file>

<file path=xl/ctrlProps/ctrlProp111.xml><?xml version="1.0" encoding="utf-8"?>
<formControlPr xmlns="http://schemas.microsoft.com/office/spreadsheetml/2009/9/main" objectType="Drop" dropLines="20" dropStyle="combo" dx="16" fmlaLink="rF1.ConcreteSelection02" fmlaRange="rF1.ConcreteSlabList02" sel="3" val="0"/>
</file>

<file path=xl/ctrlProps/ctrlProp112.xml><?xml version="1.0" encoding="utf-8"?>
<formControlPr xmlns="http://schemas.microsoft.com/office/spreadsheetml/2009/9/main" objectType="Drop" dropLines="20" dropStyle="combo" dx="16" fmlaLink="rF1.ConcreteSelection03" fmlaRange="rF1.ConcreteSlabList03" sel="3" val="0"/>
</file>

<file path=xl/ctrlProps/ctrlProp113.xml><?xml version="1.0" encoding="utf-8"?>
<formControlPr xmlns="http://schemas.microsoft.com/office/spreadsheetml/2009/9/main" objectType="Drop" dropLines="20" dropStyle="combo" dx="16" fmlaLink="rF1.ConcreteSelection04" fmlaRange="rF1.ConcreteSlabList04" sel="3" val="0"/>
</file>

<file path=xl/ctrlProps/ctrlProp114.xml><?xml version="1.0" encoding="utf-8"?>
<formControlPr xmlns="http://schemas.microsoft.com/office/spreadsheetml/2009/9/main" objectType="Drop" dropLines="20" dropStyle="combo" dx="16" fmlaLink="rF1.SlabTypeSelection02" fmlaRange="rL1.Slab02List" sel="2" val="0"/>
</file>

<file path=xl/ctrlProps/ctrlProp115.xml><?xml version="1.0" encoding="utf-8"?>
<formControlPr xmlns="http://schemas.microsoft.com/office/spreadsheetml/2009/9/main" objectType="Drop" dropLines="20" dropStyle="combo" dx="16" fmlaLink="rF1.SlabTypeSelection03" fmlaRange="rF1.Slab03List" sel="2" val="0"/>
</file>

<file path=xl/ctrlProps/ctrlProp116.xml><?xml version="1.0" encoding="utf-8"?>
<formControlPr xmlns="http://schemas.microsoft.com/office/spreadsheetml/2009/9/main" objectType="Drop" dropLines="20" dropStyle="combo" dx="16" fmlaLink="rF1.SlabTypeSelection04" fmlaRange="rF1.Slab04List" sel="2" val="0"/>
</file>

<file path=xl/ctrlProps/ctrlProp117.xml><?xml version="1.0" encoding="utf-8"?>
<formControlPr xmlns="http://schemas.microsoft.com/office/spreadsheetml/2009/9/main" objectType="Drop" dropLines="20" dropStyle="combo" dx="16" fmlaLink="rF1.SlabBearingSelection02" fmlaRange="rF1.SlabBearingList02" sel="1" val="0"/>
</file>

<file path=xl/ctrlProps/ctrlProp118.xml><?xml version="1.0" encoding="utf-8"?>
<formControlPr xmlns="http://schemas.microsoft.com/office/spreadsheetml/2009/9/main" objectType="Drop" dropLines="20" dropStyle="combo" dx="16" fmlaLink="rF1.SlabBearingSelection03" fmlaRange="rF1.SlabBearingList03" sel="1" val="0"/>
</file>

<file path=xl/ctrlProps/ctrlProp119.xml><?xml version="1.0" encoding="utf-8"?>
<formControlPr xmlns="http://schemas.microsoft.com/office/spreadsheetml/2009/9/main" objectType="Drop" dropLines="20" dropStyle="combo" dx="16" fmlaLink="rF1.SlabBearingSelection04" fmlaRange="rF1.SlabBearingList04" sel="1" val="0"/>
</file>

<file path=xl/ctrlProps/ctrlProp12.xml><?xml version="1.0" encoding="utf-8"?>
<formControlPr xmlns="http://schemas.microsoft.com/office/spreadsheetml/2009/9/main" objectType="Drop" dropLines="20" dropStyle="combo" dx="16" fmlaLink="rF1.SlabTypeSelection02" fmlaRange="rL1.Slab02List" sel="2" val="0"/>
</file>

<file path=xl/ctrlProps/ctrlProp120.xml><?xml version="1.0" encoding="utf-8"?>
<formControlPr xmlns="http://schemas.microsoft.com/office/spreadsheetml/2009/9/main" objectType="Drop" dropLines="20" dropStyle="combo" dx="16" fmlaLink="rF1.ConcreteFillSelection01" fmlaRange="rF1.ConcreteFillList01" sel="1" val="0"/>
</file>

<file path=xl/ctrlProps/ctrlProp121.xml><?xml version="1.0" encoding="utf-8"?>
<formControlPr xmlns="http://schemas.microsoft.com/office/spreadsheetml/2009/9/main" objectType="Drop" dropLines="20" dropStyle="combo" dx="16" fmlaLink="rF1.MainGroupSelection01" fmlaRange="rL2.MainGroupsList01" sel="8" val="0"/>
</file>

<file path=xl/ctrlProps/ctrlProp122.xml><?xml version="1.0" encoding="utf-8"?>
<formControlPr xmlns="http://schemas.microsoft.com/office/spreadsheetml/2009/9/main" objectType="Drop" dropLines="20" dropStyle="combo" dx="16" fmlaLink="rF1.MainGroupSelection02" fmlaRange="rL2.MainGroupsList02" sel="1" val="0"/>
</file>

<file path=xl/ctrlProps/ctrlProp123.xml><?xml version="1.0" encoding="utf-8"?>
<formControlPr xmlns="http://schemas.microsoft.com/office/spreadsheetml/2009/9/main" objectType="Drop" dropLines="20" dropStyle="combo" dx="16" fmlaLink="rF1.MainGroupSelection03" fmlaRange="rL2.MainGroupsList03" sel="1" val="0"/>
</file>

<file path=xl/ctrlProps/ctrlProp124.xml><?xml version="1.0" encoding="utf-8"?>
<formControlPr xmlns="http://schemas.microsoft.com/office/spreadsheetml/2009/9/main" objectType="CheckBox" checked="Checked" fmlaLink="rF1.CheckAxForceCalculation" lockText="1"/>
</file>

<file path=xl/ctrlProps/ctrlProp125.xml><?xml version="1.0" encoding="utf-8"?>
<formControlPr xmlns="http://schemas.microsoft.com/office/spreadsheetml/2009/9/main" objectType="Drop" dropLines="20" dropStyle="combo" dx="16" fmlaLink="rF1.FixedVergesSelection02" fmlaRange="rL1.FixedVergesList" sel="2" val="0"/>
</file>

<file path=xl/ctrlProps/ctrlProp126.xml><?xml version="1.0" encoding="utf-8"?>
<formControlPr xmlns="http://schemas.microsoft.com/office/spreadsheetml/2009/9/main" objectType="CheckBox" fmlaLink="rF1.CheckBendingMomentSlabTop" lockText="1" noThreeD="1"/>
</file>

<file path=xl/ctrlProps/ctrlProp127.xml><?xml version="1.0" encoding="utf-8"?>
<formControlPr xmlns="http://schemas.microsoft.com/office/spreadsheetml/2009/9/main" objectType="CheckBox" fmlaLink="rF1.CheckBendingMomentSlabBottom" lockText="1" noThreeD="1"/>
</file>

<file path=xl/ctrlProps/ctrlProp128.xml><?xml version="1.0" encoding="utf-8"?>
<formControlPr xmlns="http://schemas.microsoft.com/office/spreadsheetml/2009/9/main" objectType="CheckBox" fmlaLink="rF1.CheckBendingMomentSlabTop" lockText="1" noThreeD="1"/>
</file>

<file path=xl/ctrlProps/ctrlProp129.xml><?xml version="1.0" encoding="utf-8"?>
<formControlPr xmlns="http://schemas.microsoft.com/office/spreadsheetml/2009/9/main" objectType="CheckBox" checked="Checked" fmlaLink="rF1.CheckShowDetails" lockText="1"/>
</file>

<file path=xl/ctrlProps/ctrlProp13.xml><?xml version="1.0" encoding="utf-8"?>
<formControlPr xmlns="http://schemas.microsoft.com/office/spreadsheetml/2009/9/main" objectType="Drop" dropLines="20" dropStyle="combo" dx="16" fmlaLink="rF1.SlabTypeSelection03" fmlaRange="rF1.Slab03List" sel="5" val="0"/>
</file>

<file path=xl/ctrlProps/ctrlProp130.xml><?xml version="1.0" encoding="utf-8"?>
<formControlPr xmlns="http://schemas.microsoft.com/office/spreadsheetml/2009/9/main" objectType="Drop" dropLines="20" dropStyle="combo" dx="16" fmlaLink="rF1.DesignSitSelection" fmlaRange="rD4.DesignSitList" sel="1" val="0"/>
</file>

<file path=xl/ctrlProps/ctrlProp131.xml><?xml version="1.0" encoding="utf-8"?>
<formControlPr xmlns="http://schemas.microsoft.com/office/spreadsheetml/2009/9/main" objectType="Drop" dropLines="20" dropStyle="combo" dx="16" fmlaLink="rF1.OverlappingSelection" fmlaRange="rF1.OverlappingList" sel="1" val="0"/>
</file>

<file path=xl/ctrlProps/ctrlProp132.xml><?xml version="1.0" encoding="utf-8"?>
<formControlPr xmlns="http://schemas.microsoft.com/office/spreadsheetml/2009/9/main" objectType="Drop" dropLines="20" dropStyle="combo" dx="16" fmlaLink="rF1.AufteilungMomenteWindSelection" fmlaRange="rL3.AufteilungMomenteWindList" sel="1" val="0"/>
</file>

<file path=xl/ctrlProps/ctrlProp133.xml><?xml version="1.0" encoding="utf-8"?>
<formControlPr xmlns="http://schemas.microsoft.com/office/spreadsheetml/2009/9/main" objectType="Drop" dropLines="20" dropStyle="combo" dx="16" fmlaLink="rF1.SafetyFactorDeadLoadSelection" fmlaRange="rF1.SafetyFactorDeadLoadList" sel="1" val="0"/>
</file>

<file path=xl/ctrlProps/ctrlProp134.xml><?xml version="1.0" encoding="utf-8"?>
<formControlPr xmlns="http://schemas.microsoft.com/office/spreadsheetml/2009/9/main" objectType="Drop" dropLines="20" dropStyle="combo" dx="16" fmlaLink="rF1.WallBearingBottomSelection01" fmlaRange="rL1.Wall01List" sel="2" val="0"/>
</file>

<file path=xl/ctrlProps/ctrlProp135.xml><?xml version="1.0" encoding="utf-8"?>
<formControlPr xmlns="http://schemas.microsoft.com/office/spreadsheetml/2009/9/main" objectType="Drop" dropLines="20" dropStyle="combo" dx="16" fmlaLink="rF1.WallBearingBottomSelection02" fmlaRange="rL1.Wall02List" sel="2" val="0"/>
</file>

<file path=xl/ctrlProps/ctrlProp136.xml><?xml version="1.0" encoding="utf-8"?>
<formControlPr xmlns="http://schemas.microsoft.com/office/spreadsheetml/2009/9/main" objectType="Drop" dropLines="20" dropStyle="combo" dx="16" fmlaLink="rF1.FireResClassSelection" fmlaRange="rL6.FireResClassList" sel="2" val="0"/>
</file>

<file path=xl/ctrlProps/ctrlProp14.xml><?xml version="1.0" encoding="utf-8"?>
<formControlPr xmlns="http://schemas.microsoft.com/office/spreadsheetml/2009/9/main" objectType="Drop" dropLines="20" dropStyle="combo" dx="16" fmlaLink="rF1.SlabTypeSelection04" fmlaRange="rF1.Slab04List" sel="4" val="0"/>
</file>

<file path=xl/ctrlProps/ctrlProp15.xml><?xml version="1.0" encoding="utf-8"?>
<formControlPr xmlns="http://schemas.microsoft.com/office/spreadsheetml/2009/9/main" objectType="Drop" dropLines="20" dropStyle="combo" dx="16" fmlaLink="rF1.SlabBearingSelection02" fmlaRange="rF1.SlabBearingList02" sel="1" val="0"/>
</file>

<file path=xl/ctrlProps/ctrlProp16.xml><?xml version="1.0" encoding="utf-8"?>
<formControlPr xmlns="http://schemas.microsoft.com/office/spreadsheetml/2009/9/main" objectType="Drop" dropLines="20" dropStyle="combo" dx="16" fmlaLink="rF1.SlabBearingSelection03" fmlaRange="rF1.SlabBearingList03" sel="1" val="0"/>
</file>

<file path=xl/ctrlProps/ctrlProp17.xml><?xml version="1.0" encoding="utf-8"?>
<formControlPr xmlns="http://schemas.microsoft.com/office/spreadsheetml/2009/9/main" objectType="Drop" dropLines="20" dropStyle="combo" dx="16" fmlaLink="rF1.SlabBearingSelection04" fmlaRange="rF1.SlabBearingList04" sel="1" val="0"/>
</file>

<file path=xl/ctrlProps/ctrlProp18.xml><?xml version="1.0" encoding="utf-8"?>
<formControlPr xmlns="http://schemas.microsoft.com/office/spreadsheetml/2009/9/main" objectType="Drop" dropLines="20" dropStyle="combo" dx="16" fmlaLink="rF1.ConcreteFillSelection01" fmlaRange="rF1.ConcreteFillList01" sel="4" val="0"/>
</file>

<file path=xl/ctrlProps/ctrlProp19.xml><?xml version="1.0" encoding="utf-8"?>
<formControlPr xmlns="http://schemas.microsoft.com/office/spreadsheetml/2009/9/main" objectType="Drop" dropLines="20" dropStyle="combo" dx="16" fmlaLink="rF1.MainGroupSelection01" fmlaRange="rL2.MainGroupsList01" sel="7" val="0"/>
</file>

<file path=xl/ctrlProps/ctrlProp2.xml><?xml version="1.0" encoding="utf-8"?>
<formControlPr xmlns="http://schemas.microsoft.com/office/spreadsheetml/2009/9/main" objectType="Drop" dropLines="30" dropStyle="combo" dx="16" fmlaLink="rF1.BrickProductSelection02" fmlaRange="rF1.BrickList02" sel="3" val="0"/>
</file>

<file path=xl/ctrlProps/ctrlProp20.xml><?xml version="1.0" encoding="utf-8"?>
<formControlPr xmlns="http://schemas.microsoft.com/office/spreadsheetml/2009/9/main" objectType="Drop" dropLines="20" dropStyle="combo" dx="16" fmlaLink="rF1.MainGroupSelection02" fmlaRange="rL2.MainGroupsList02" sel="5" val="0"/>
</file>

<file path=xl/ctrlProps/ctrlProp21.xml><?xml version="1.0" encoding="utf-8"?>
<formControlPr xmlns="http://schemas.microsoft.com/office/spreadsheetml/2009/9/main" objectType="Drop" dropLines="20" dropStyle="combo" dx="16" fmlaLink="rF1.MainGroupSelection03" fmlaRange="rL2.MainGroupsList03" sel="5" val="0"/>
</file>

<file path=xl/ctrlProps/ctrlProp22.xml><?xml version="1.0" encoding="utf-8"?>
<formControlPr xmlns="http://schemas.microsoft.com/office/spreadsheetml/2009/9/main" objectType="Drop" dropLines="20" dropStyle="combo" dx="16" fmlaLink="rF1.FixedVergesSelection02" fmlaRange="rL1.FixedVergesList" sel="1" val="0"/>
</file>

<file path=xl/ctrlProps/ctrlProp23.xml><?xml version="1.0" encoding="utf-8"?>
<formControlPr xmlns="http://schemas.microsoft.com/office/spreadsheetml/2009/9/main" objectType="CheckBox" fmlaLink="rF1.CheckBendingMomentSlabTop" lockText="1" noThreeD="1"/>
</file>

<file path=xl/ctrlProps/ctrlProp24.xml><?xml version="1.0" encoding="utf-8"?>
<formControlPr xmlns="http://schemas.microsoft.com/office/spreadsheetml/2009/9/main" objectType="CheckBox" fmlaLink="rF1.CheckBendingMomentSlabBottom" lockText="1" noThreeD="1"/>
</file>

<file path=xl/ctrlProps/ctrlProp25.xml><?xml version="1.0" encoding="utf-8"?>
<formControlPr xmlns="http://schemas.microsoft.com/office/spreadsheetml/2009/9/main" objectType="CheckBox" fmlaLink="rF1.CheckBendingMomentSlabTop" lockText="1" noThreeD="1"/>
</file>

<file path=xl/ctrlProps/ctrlProp26.xml><?xml version="1.0" encoding="utf-8"?>
<formControlPr xmlns="http://schemas.microsoft.com/office/spreadsheetml/2009/9/main" objectType="CheckBox" checked="Checked" fmlaLink="rF1.CheckShowDetails" lockText="1"/>
</file>

<file path=xl/ctrlProps/ctrlProp27.xml><?xml version="1.0" encoding="utf-8"?>
<formControlPr xmlns="http://schemas.microsoft.com/office/spreadsheetml/2009/9/main" objectType="Drop" dropLines="20" dropStyle="combo" dx="16" fmlaLink="rF1.DesignSitSelection" fmlaRange="rD4.DesignSitList" sel="1" val="0"/>
</file>

<file path=xl/ctrlProps/ctrlProp28.xml><?xml version="1.0" encoding="utf-8"?>
<formControlPr xmlns="http://schemas.microsoft.com/office/spreadsheetml/2009/9/main" objectType="Drop" dropLines="20" dropStyle="combo" dx="16" fmlaLink="rF1.OverlappingSelection" fmlaRange="rF1.OverlappingList" sel="1" val="0"/>
</file>

<file path=xl/ctrlProps/ctrlProp29.xml><?xml version="1.0" encoding="utf-8"?>
<formControlPr xmlns="http://schemas.microsoft.com/office/spreadsheetml/2009/9/main" objectType="Drop" dropLines="20" dropStyle="combo" dx="16" fmlaLink="rF1.AufteilungMomenteWindSelection" fmlaRange="rL3.AufteilungMomenteWindList" sel="1" val="0"/>
</file>

<file path=xl/ctrlProps/ctrlProp3.xml><?xml version="1.0" encoding="utf-8"?>
<formControlPr xmlns="http://schemas.microsoft.com/office/spreadsheetml/2009/9/main" objectType="Drop" dropLines="30" dropStyle="combo" dx="16" fmlaLink="rF1.BrickProductSelection03" fmlaRange="rF1.BrickList03" sel="3" val="0"/>
</file>

<file path=xl/ctrlProps/ctrlProp30.xml><?xml version="1.0" encoding="utf-8"?>
<formControlPr xmlns="http://schemas.microsoft.com/office/spreadsheetml/2009/9/main" objectType="Drop" dropLines="20" dropStyle="combo" dx="16" fmlaLink="rF1.WallBearingBottomSelection01" fmlaRange="rL1.Wall01List" sel="2" val="0"/>
</file>

<file path=xl/ctrlProps/ctrlProp31.xml><?xml version="1.0" encoding="utf-8"?>
<formControlPr xmlns="http://schemas.microsoft.com/office/spreadsheetml/2009/9/main" objectType="Drop" dropLines="20" dropStyle="combo" dx="16" fmlaLink="rF1.WallBearingBottomSelection02" fmlaRange="rL1.Wall02List" sel="2" val="0"/>
</file>

<file path=xl/ctrlProps/ctrlProp32.xml><?xml version="1.0" encoding="utf-8"?>
<formControlPr xmlns="http://schemas.microsoft.com/office/spreadsheetml/2009/9/main" objectType="Drop" dropLines="20" dropStyle="combo" dx="16" fmlaLink="rF1.FireResClassSelection" fmlaRange="rL6.FireResClassList" sel="3" val="0"/>
</file>

<file path=xl/ctrlProps/ctrlProp33.xml><?xml version="1.0" encoding="utf-8"?>
<formControlPr xmlns="http://schemas.microsoft.com/office/spreadsheetml/2009/9/main" objectType="CheckBox" checked="Checked" fmlaLink="rF1.CheckAxForceCalculation" lockText="1"/>
</file>

<file path=xl/ctrlProps/ctrlProp34.xml><?xml version="1.0" encoding="utf-8"?>
<formControlPr xmlns="http://schemas.microsoft.com/office/spreadsheetml/2009/9/main" objectType="Drop" dropLines="20" dropStyle="combo" dx="16" fmlaLink="rF1.SafetyFactorDeadLoadSelection" fmlaRange="rF1.SafetyFactorDeadLoadList" sel="1" val="0"/>
</file>

<file path=xl/ctrlProps/ctrlProp35.xml><?xml version="1.0" encoding="utf-8"?>
<formControlPr xmlns="http://schemas.microsoft.com/office/spreadsheetml/2009/9/main" objectType="Drop" dropLines="30" dropStyle="combo" dx="16" fmlaLink="rF1.BrickProductSelection01" fmlaRange="rF1.BrickList01" sel="6" val="0"/>
</file>

<file path=xl/ctrlProps/ctrlProp36.xml><?xml version="1.0" encoding="utf-8"?>
<formControlPr xmlns="http://schemas.microsoft.com/office/spreadsheetml/2009/9/main" objectType="Drop" dropLines="30" dropStyle="combo" dx="16" fmlaLink="rF1.BrickProductSelection02" fmlaRange="rF1.BrickList02" sel="10" val="0"/>
</file>

<file path=xl/ctrlProps/ctrlProp37.xml><?xml version="1.0" encoding="utf-8"?>
<formControlPr xmlns="http://schemas.microsoft.com/office/spreadsheetml/2009/9/main" objectType="Drop" dropLines="30" dropStyle="combo" dx="16" fmlaLink="rF1.BrickProductSelection03" fmlaRange="rF1.BrickList03" sel="10" val="0"/>
</file>

<file path=xl/ctrlProps/ctrlProp38.xml><?xml version="1.0" encoding="utf-8"?>
<formControlPr xmlns="http://schemas.microsoft.com/office/spreadsheetml/2009/9/main" objectType="Drop" dropLines="20" dropStyle="combo" dx="16" fmlaLink="rF1.WallBearingTopSelection02" fmlaRange="rL1.Wall02List" sel="2" val="0"/>
</file>

<file path=xl/ctrlProps/ctrlProp39.xml><?xml version="1.0" encoding="utf-8"?>
<formControlPr xmlns="http://schemas.microsoft.com/office/spreadsheetml/2009/9/main" objectType="Drop" dropLines="20" dropStyle="combo" dx="16" fmlaLink="rF1.WallBearingTopSelection03" fmlaRange="rF1.WallBearingList03" sel="2" val="0"/>
</file>

<file path=xl/ctrlProps/ctrlProp4.xml><?xml version="1.0" encoding="utf-8"?>
<formControlPr xmlns="http://schemas.microsoft.com/office/spreadsheetml/2009/9/main" objectType="Drop" dropLines="20" dropStyle="combo" dx="16" fmlaLink="rF1.WallBearingTopSelection02" fmlaRange="rL1.Wall02List" sel="2" val="0"/>
</file>

<file path=xl/ctrlProps/ctrlProp40.xml><?xml version="1.0" encoding="utf-8"?>
<formControlPr xmlns="http://schemas.microsoft.com/office/spreadsheetml/2009/9/main" objectType="Drop" dropLines="20" dropStyle="combo" dx="16" fmlaLink="rF1.SlabTypeSelection01" fmlaRange="rL1.Slab01List" sel="2" val="0"/>
</file>

<file path=xl/ctrlProps/ctrlProp41.xml><?xml version="1.0" encoding="utf-8"?>
<formControlPr xmlns="http://schemas.microsoft.com/office/spreadsheetml/2009/9/main" objectType="Drop" dropLines="20" dropStyle="combo" dx="16" fmlaLink="rF1.SlabBearingSelection01" fmlaRange="rF1.SlabBearingList01" sel="1" val="0"/>
</file>

<file path=xl/ctrlProps/ctrlProp42.xml><?xml version="1.0" encoding="utf-8"?>
<formControlPr xmlns="http://schemas.microsoft.com/office/spreadsheetml/2009/9/main" objectType="Drop" dropLines="20" dropStyle="combo" dx="16" fmlaLink="rF1.ConcreteSelection01" fmlaRange="rF1.ConcreteSlabList01" sel="3" val="0"/>
</file>

<file path=xl/ctrlProps/ctrlProp43.xml><?xml version="1.0" encoding="utf-8"?>
<formControlPr xmlns="http://schemas.microsoft.com/office/spreadsheetml/2009/9/main" objectType="Drop" dropLines="20" dropStyle="combo" dx="16" fmlaLink="rF1.ConcreteSelection02" fmlaRange="rF1.ConcreteSlabList02" sel="3" val="0"/>
</file>

<file path=xl/ctrlProps/ctrlProp44.xml><?xml version="1.0" encoding="utf-8"?>
<formControlPr xmlns="http://schemas.microsoft.com/office/spreadsheetml/2009/9/main" objectType="Drop" dropLines="20" dropStyle="combo" dx="16" fmlaLink="rF1.ConcreteSelection03" fmlaRange="rF1.ConcreteSlabList03" sel="1" val="0"/>
</file>

<file path=xl/ctrlProps/ctrlProp45.xml><?xml version="1.0" encoding="utf-8"?>
<formControlPr xmlns="http://schemas.microsoft.com/office/spreadsheetml/2009/9/main" objectType="Drop" dropLines="20" dropStyle="combo" dx="16" fmlaLink="rF1.ConcreteSelection04" fmlaRange="rF1.ConcreteSlabList04" sel="1" val="0"/>
</file>

<file path=xl/ctrlProps/ctrlProp46.xml><?xml version="1.0" encoding="utf-8"?>
<formControlPr xmlns="http://schemas.microsoft.com/office/spreadsheetml/2009/9/main" objectType="Drop" dropLines="20" dropStyle="combo" dx="16" fmlaLink="rF1.SlabTypeSelection02" fmlaRange="rL1.Slab02List" sel="2" val="0"/>
</file>

<file path=xl/ctrlProps/ctrlProp47.xml><?xml version="1.0" encoding="utf-8"?>
<formControlPr xmlns="http://schemas.microsoft.com/office/spreadsheetml/2009/9/main" objectType="Drop" dropLines="20" dropStyle="combo" dx="16" fmlaLink="rF1.SlabTypeSelection03" fmlaRange="rF1.Slab03List" sel="5" val="0"/>
</file>

<file path=xl/ctrlProps/ctrlProp48.xml><?xml version="1.0" encoding="utf-8"?>
<formControlPr xmlns="http://schemas.microsoft.com/office/spreadsheetml/2009/9/main" objectType="Drop" dropLines="20" dropStyle="combo" dx="16" fmlaLink="rF1.SlabTypeSelection04" fmlaRange="rF1.Slab04List" sel="4" val="0"/>
</file>

<file path=xl/ctrlProps/ctrlProp49.xml><?xml version="1.0" encoding="utf-8"?>
<formControlPr xmlns="http://schemas.microsoft.com/office/spreadsheetml/2009/9/main" objectType="Drop" dropLines="20" dropStyle="combo" dx="16" fmlaLink="rF1.SlabBearingSelection02" fmlaRange="rF1.SlabBearingList02" sel="1" val="0"/>
</file>

<file path=xl/ctrlProps/ctrlProp5.xml><?xml version="1.0" encoding="utf-8"?>
<formControlPr xmlns="http://schemas.microsoft.com/office/spreadsheetml/2009/9/main" objectType="Drop" dropLines="20" dropStyle="combo" dx="16" fmlaLink="rF1.WallBearingTopSelection03" fmlaRange="rF1.WallBearingList03" sel="2" val="0"/>
</file>

<file path=xl/ctrlProps/ctrlProp50.xml><?xml version="1.0" encoding="utf-8"?>
<formControlPr xmlns="http://schemas.microsoft.com/office/spreadsheetml/2009/9/main" objectType="Drop" dropLines="20" dropStyle="combo" dx="16" fmlaLink="rF1.SlabBearingSelection03" fmlaRange="rF1.SlabBearingList03" sel="1" val="0"/>
</file>

<file path=xl/ctrlProps/ctrlProp51.xml><?xml version="1.0" encoding="utf-8"?>
<formControlPr xmlns="http://schemas.microsoft.com/office/spreadsheetml/2009/9/main" objectType="Drop" dropLines="20" dropStyle="combo" dx="16" fmlaLink="rF1.SlabBearingSelection04" fmlaRange="rF1.SlabBearingList04" sel="1" val="0"/>
</file>

<file path=xl/ctrlProps/ctrlProp52.xml><?xml version="1.0" encoding="utf-8"?>
<formControlPr xmlns="http://schemas.microsoft.com/office/spreadsheetml/2009/9/main" objectType="Drop" dropLines="20" dropStyle="combo" dx="16" fmlaLink="rF1.ConcreteFillSelection01" fmlaRange="rF1.ConcreteFillList01" sel="3" val="0"/>
</file>

<file path=xl/ctrlProps/ctrlProp53.xml><?xml version="1.0" encoding="utf-8"?>
<formControlPr xmlns="http://schemas.microsoft.com/office/spreadsheetml/2009/9/main" objectType="Drop" dropLines="20" dropStyle="combo" dx="16" fmlaLink="rF1.MainGroupSelection01" fmlaRange="rL2.MainGroupsList01" sel="7" val="0"/>
</file>

<file path=xl/ctrlProps/ctrlProp54.xml><?xml version="1.0" encoding="utf-8"?>
<formControlPr xmlns="http://schemas.microsoft.com/office/spreadsheetml/2009/9/main" objectType="Drop" dropLines="20" dropStyle="combo" dx="16" fmlaLink="rF1.MainGroupSelection02" fmlaRange="rL2.MainGroupsList02" sel="6" val="0"/>
</file>

<file path=xl/ctrlProps/ctrlProp55.xml><?xml version="1.0" encoding="utf-8"?>
<formControlPr xmlns="http://schemas.microsoft.com/office/spreadsheetml/2009/9/main" objectType="Drop" dropLines="20" dropStyle="combo" dx="16" fmlaLink="rF1.MainGroupSelection03" fmlaRange="rL2.MainGroupsList03" sel="6" val="0"/>
</file>

<file path=xl/ctrlProps/ctrlProp56.xml><?xml version="1.0" encoding="utf-8"?>
<formControlPr xmlns="http://schemas.microsoft.com/office/spreadsheetml/2009/9/main" objectType="CheckBox" checked="Checked" fmlaLink="rF1.CheckAxForceCalculation" lockText="1"/>
</file>

<file path=xl/ctrlProps/ctrlProp57.xml><?xml version="1.0" encoding="utf-8"?>
<formControlPr xmlns="http://schemas.microsoft.com/office/spreadsheetml/2009/9/main" objectType="Drop" dropLines="20" dropStyle="combo" dx="16" fmlaLink="rF1.FixedVergesSelection02" fmlaRange="rL1.FixedVergesList" sel="1" val="0"/>
</file>

<file path=xl/ctrlProps/ctrlProp58.xml><?xml version="1.0" encoding="utf-8"?>
<formControlPr xmlns="http://schemas.microsoft.com/office/spreadsheetml/2009/9/main" objectType="CheckBox" fmlaLink="rF1.CheckBendingMomentSlabTop" lockText="1" noThreeD="1"/>
</file>

<file path=xl/ctrlProps/ctrlProp59.xml><?xml version="1.0" encoding="utf-8"?>
<formControlPr xmlns="http://schemas.microsoft.com/office/spreadsheetml/2009/9/main" objectType="CheckBox" fmlaLink="rF1.CheckBendingMomentSlabBottom" lockText="1" noThreeD="1"/>
</file>

<file path=xl/ctrlProps/ctrlProp6.xml><?xml version="1.0" encoding="utf-8"?>
<formControlPr xmlns="http://schemas.microsoft.com/office/spreadsheetml/2009/9/main" objectType="Drop" dropLines="20" dropStyle="combo" dx="16" fmlaLink="rF1.SlabTypeSelection01" fmlaRange="rL1.Slab01List" sel="2" val="0"/>
</file>

<file path=xl/ctrlProps/ctrlProp60.xml><?xml version="1.0" encoding="utf-8"?>
<formControlPr xmlns="http://schemas.microsoft.com/office/spreadsheetml/2009/9/main" objectType="CheckBox" fmlaLink="rF1.CheckBendingMomentSlabTop" lockText="1" noThreeD="1"/>
</file>

<file path=xl/ctrlProps/ctrlProp61.xml><?xml version="1.0" encoding="utf-8"?>
<formControlPr xmlns="http://schemas.microsoft.com/office/spreadsheetml/2009/9/main" objectType="CheckBox" fmlaLink="rF1.CheckShowDetails" lockText="1"/>
</file>

<file path=xl/ctrlProps/ctrlProp62.xml><?xml version="1.0" encoding="utf-8"?>
<formControlPr xmlns="http://schemas.microsoft.com/office/spreadsheetml/2009/9/main" objectType="Drop" dropLines="20" dropStyle="combo" dx="16" fmlaLink="rF1.DesignSitSelection" fmlaRange="rD4.DesignSitList" sel="1" val="0"/>
</file>

<file path=xl/ctrlProps/ctrlProp63.xml><?xml version="1.0" encoding="utf-8"?>
<formControlPr xmlns="http://schemas.microsoft.com/office/spreadsheetml/2009/9/main" objectType="Drop" dropLines="20" dropStyle="combo" dx="16" fmlaLink="rF1.OverlappingSelection" fmlaRange="rF1.OverlappingList" sel="1" val="0"/>
</file>

<file path=xl/ctrlProps/ctrlProp64.xml><?xml version="1.0" encoding="utf-8"?>
<formControlPr xmlns="http://schemas.microsoft.com/office/spreadsheetml/2009/9/main" objectType="Drop" dropLines="20" dropStyle="combo" dx="16" fmlaLink="rF1.AufteilungMomenteWindSelection" fmlaRange="rL3.AufteilungMomenteWindList" sel="1" val="0"/>
</file>

<file path=xl/ctrlProps/ctrlProp65.xml><?xml version="1.0" encoding="utf-8"?>
<formControlPr xmlns="http://schemas.microsoft.com/office/spreadsheetml/2009/9/main" objectType="Drop" dropLines="20" dropStyle="combo" dx="16" fmlaLink="rF1.SafetyFactorDeadLoadSelection" fmlaRange="rF1.SafetyFactorDeadLoadList" sel="1" val="0"/>
</file>

<file path=xl/ctrlProps/ctrlProp66.xml><?xml version="1.0" encoding="utf-8"?>
<formControlPr xmlns="http://schemas.microsoft.com/office/spreadsheetml/2009/9/main" objectType="Drop" dropLines="20" dropStyle="combo" dx="16" fmlaLink="rF1.WallBearingBottomSelection01" fmlaRange="rL1.Wall01List" sel="2" val="0"/>
</file>

<file path=xl/ctrlProps/ctrlProp67.xml><?xml version="1.0" encoding="utf-8"?>
<formControlPr xmlns="http://schemas.microsoft.com/office/spreadsheetml/2009/9/main" objectType="Drop" dropLines="20" dropStyle="combo" dx="16" fmlaLink="rF1.WallBearingBottomSelection02" fmlaRange="rL1.Wall02List" sel="2" val="0"/>
</file>

<file path=xl/ctrlProps/ctrlProp68.xml><?xml version="1.0" encoding="utf-8"?>
<formControlPr xmlns="http://schemas.microsoft.com/office/spreadsheetml/2009/9/main" objectType="Drop" dropLines="20" dropStyle="combo" dx="16" fmlaLink="rF1.FireResClassSelection" fmlaRange="rL6.FireResClassList" sel="2" val="0"/>
</file>

<file path=xl/ctrlProps/ctrlProp69.xml><?xml version="1.0" encoding="utf-8"?>
<formControlPr xmlns="http://schemas.microsoft.com/office/spreadsheetml/2009/9/main" objectType="Drop" dropLines="30" dropStyle="combo" dx="16" fmlaLink="rF1.BrickProductSelection01" fmlaRange="rF1.BrickList01" sel="6" val="0"/>
</file>

<file path=xl/ctrlProps/ctrlProp7.xml><?xml version="1.0" encoding="utf-8"?>
<formControlPr xmlns="http://schemas.microsoft.com/office/spreadsheetml/2009/9/main" objectType="Drop" dropLines="20" dropStyle="combo" dx="16" fmlaLink="rF1.SlabBearingSelection01" fmlaRange="rF1.SlabBearingList01" sel="1" val="0"/>
</file>

<file path=xl/ctrlProps/ctrlProp70.xml><?xml version="1.0" encoding="utf-8"?>
<formControlPr xmlns="http://schemas.microsoft.com/office/spreadsheetml/2009/9/main" objectType="Drop" dropLines="30" dropStyle="combo" dx="16" fmlaLink="rF1.BrickProductSelection02" fmlaRange="rF1.BrickList02" sel="10" val="0"/>
</file>

<file path=xl/ctrlProps/ctrlProp71.xml><?xml version="1.0" encoding="utf-8"?>
<formControlPr xmlns="http://schemas.microsoft.com/office/spreadsheetml/2009/9/main" objectType="Drop" dropLines="30" dropStyle="combo" dx="16" fmlaLink="rF1.BrickProductSelection03" fmlaRange="rF1.BrickList03" sel="1" val="0"/>
</file>

<file path=xl/ctrlProps/ctrlProp72.xml><?xml version="1.0" encoding="utf-8"?>
<formControlPr xmlns="http://schemas.microsoft.com/office/spreadsheetml/2009/9/main" objectType="Drop" dropLines="20" dropStyle="combo" dx="16" fmlaLink="rF1.WallBearingTopSelection02" fmlaRange="rL1.Wall02List" sel="2" val="0"/>
</file>

<file path=xl/ctrlProps/ctrlProp73.xml><?xml version="1.0" encoding="utf-8"?>
<formControlPr xmlns="http://schemas.microsoft.com/office/spreadsheetml/2009/9/main" objectType="Drop" dropLines="20" dropStyle="combo" dx="16" fmlaLink="rF1.WallBearingTopSelection03" fmlaRange="rF1.WallBearingList03" sel="2" val="0"/>
</file>

<file path=xl/ctrlProps/ctrlProp74.xml><?xml version="1.0" encoding="utf-8"?>
<formControlPr xmlns="http://schemas.microsoft.com/office/spreadsheetml/2009/9/main" objectType="Drop" dropLines="20" dropStyle="combo" dx="16" fmlaLink="rF1.SlabTypeSelection01" fmlaRange="rL1.Slab01List" sel="2" val="0"/>
</file>

<file path=xl/ctrlProps/ctrlProp75.xml><?xml version="1.0" encoding="utf-8"?>
<formControlPr xmlns="http://schemas.microsoft.com/office/spreadsheetml/2009/9/main" objectType="Drop" dropLines="20" dropStyle="combo" dx="16" fmlaLink="rF1.SlabBearingSelection01" fmlaRange="rF1.SlabBearingList01" sel="1" val="0"/>
</file>

<file path=xl/ctrlProps/ctrlProp76.xml><?xml version="1.0" encoding="utf-8"?>
<formControlPr xmlns="http://schemas.microsoft.com/office/spreadsheetml/2009/9/main" objectType="Drop" dropLines="20" dropStyle="combo" dx="16" fmlaLink="rF1.ConcreteSelection01" fmlaRange="rF1.ConcreteSlabList01" sel="3" val="0"/>
</file>

<file path=xl/ctrlProps/ctrlProp77.xml><?xml version="1.0" encoding="utf-8"?>
<formControlPr xmlns="http://schemas.microsoft.com/office/spreadsheetml/2009/9/main" objectType="Drop" dropLines="20" dropStyle="combo" dx="16" fmlaLink="rF1.ConcreteSelection02" fmlaRange="rF1.ConcreteSlabList02" sel="3" val="0"/>
</file>

<file path=xl/ctrlProps/ctrlProp78.xml><?xml version="1.0" encoding="utf-8"?>
<formControlPr xmlns="http://schemas.microsoft.com/office/spreadsheetml/2009/9/main" objectType="Drop" dropLines="20" dropStyle="combo" dx="16" fmlaLink="rF1.ConcreteSelection03" fmlaRange="rF1.ConcreteSlabList03" sel="1" val="0"/>
</file>

<file path=xl/ctrlProps/ctrlProp79.xml><?xml version="1.0" encoding="utf-8"?>
<formControlPr xmlns="http://schemas.microsoft.com/office/spreadsheetml/2009/9/main" objectType="Drop" dropLines="20" dropStyle="combo" dx="16" fmlaLink="rF1.ConcreteSelection04" fmlaRange="rF1.ConcreteSlabList04" sel="3" val="0"/>
</file>

<file path=xl/ctrlProps/ctrlProp8.xml><?xml version="1.0" encoding="utf-8"?>
<formControlPr xmlns="http://schemas.microsoft.com/office/spreadsheetml/2009/9/main" objectType="Drop" dropLines="20" dropStyle="combo" dx="16" fmlaLink="rF1.ConcreteSelection01" fmlaRange="rF1.ConcreteSlabList01" sel="4" val="0"/>
</file>

<file path=xl/ctrlProps/ctrlProp80.xml><?xml version="1.0" encoding="utf-8"?>
<formControlPr xmlns="http://schemas.microsoft.com/office/spreadsheetml/2009/9/main" objectType="Drop" dropLines="20" dropStyle="combo" dx="16" fmlaLink="rF1.SlabTypeSelection02" fmlaRange="rL1.Slab02List" sel="2" val="0"/>
</file>

<file path=xl/ctrlProps/ctrlProp81.xml><?xml version="1.0" encoding="utf-8"?>
<formControlPr xmlns="http://schemas.microsoft.com/office/spreadsheetml/2009/9/main" objectType="Drop" dropLines="20" dropStyle="combo" dx="16" fmlaLink="rF1.SlabTypeSelection03" fmlaRange="rF1.Slab03List" sel="5" val="0"/>
</file>

<file path=xl/ctrlProps/ctrlProp82.xml><?xml version="1.0" encoding="utf-8"?>
<formControlPr xmlns="http://schemas.microsoft.com/office/spreadsheetml/2009/9/main" objectType="Drop" dropLines="20" dropStyle="combo" dx="16" fmlaLink="rF1.SlabTypeSelection04" fmlaRange="rF1.Slab04List" sel="3" val="0"/>
</file>

<file path=xl/ctrlProps/ctrlProp83.xml><?xml version="1.0" encoding="utf-8"?>
<formControlPr xmlns="http://schemas.microsoft.com/office/spreadsheetml/2009/9/main" objectType="Drop" dropLines="20" dropStyle="combo" dx="16" fmlaLink="rF1.SlabBearingSelection02" fmlaRange="rF1.SlabBearingList02" sel="1" val="0"/>
</file>

<file path=xl/ctrlProps/ctrlProp84.xml><?xml version="1.0" encoding="utf-8"?>
<formControlPr xmlns="http://schemas.microsoft.com/office/spreadsheetml/2009/9/main" objectType="Drop" dropLines="20" dropStyle="combo" dx="16" fmlaLink="rF1.SlabBearingSelection03" fmlaRange="rF1.SlabBearingList03" sel="1" val="0"/>
</file>

<file path=xl/ctrlProps/ctrlProp85.xml><?xml version="1.0" encoding="utf-8"?>
<formControlPr xmlns="http://schemas.microsoft.com/office/spreadsheetml/2009/9/main" objectType="Drop" dropLines="20" dropStyle="combo" dx="16" fmlaLink="rF1.SlabBearingSelection04" fmlaRange="rF1.SlabBearingList04" sel="1" val="0"/>
</file>

<file path=xl/ctrlProps/ctrlProp86.xml><?xml version="1.0" encoding="utf-8"?>
<formControlPr xmlns="http://schemas.microsoft.com/office/spreadsheetml/2009/9/main" objectType="Drop" dropLines="20" dropStyle="combo" dx="16" fmlaLink="rF1.ConcreteFillSelection01" fmlaRange="rF1.ConcreteFillList01" sel="3" val="0"/>
</file>

<file path=xl/ctrlProps/ctrlProp87.xml><?xml version="1.0" encoding="utf-8"?>
<formControlPr xmlns="http://schemas.microsoft.com/office/spreadsheetml/2009/9/main" objectType="Drop" dropLines="20" dropStyle="combo" dx="16" fmlaLink="rF1.MainGroupSelection01" fmlaRange="rL2.MainGroupsList01" sel="7" val="0"/>
</file>

<file path=xl/ctrlProps/ctrlProp88.xml><?xml version="1.0" encoding="utf-8"?>
<formControlPr xmlns="http://schemas.microsoft.com/office/spreadsheetml/2009/9/main" objectType="Drop" dropLines="20" dropStyle="combo" dx="16" fmlaLink="rF1.MainGroupSelection02" fmlaRange="rL2.MainGroupsList02" sel="6" val="0"/>
</file>

<file path=xl/ctrlProps/ctrlProp89.xml><?xml version="1.0" encoding="utf-8"?>
<formControlPr xmlns="http://schemas.microsoft.com/office/spreadsheetml/2009/9/main" objectType="Drop" dropLines="20" dropStyle="combo" dx="16" fmlaLink="rF1.MainGroupSelection03" fmlaRange="rL2.MainGroupsList03" sel="6" val="0"/>
</file>

<file path=xl/ctrlProps/ctrlProp9.xml><?xml version="1.0" encoding="utf-8"?>
<formControlPr xmlns="http://schemas.microsoft.com/office/spreadsheetml/2009/9/main" objectType="Drop" dropLines="20" dropStyle="combo" dx="16" fmlaLink="rF1.ConcreteSelection02" fmlaRange="rF1.ConcreteSlabList02" sel="3" val="0"/>
</file>

<file path=xl/ctrlProps/ctrlProp90.xml><?xml version="1.0" encoding="utf-8"?>
<formControlPr xmlns="http://schemas.microsoft.com/office/spreadsheetml/2009/9/main" objectType="CheckBox" checked="Checked" fmlaLink="rF1.CheckAxForceCalculation" lockText="1"/>
</file>

<file path=xl/ctrlProps/ctrlProp91.xml><?xml version="1.0" encoding="utf-8"?>
<formControlPr xmlns="http://schemas.microsoft.com/office/spreadsheetml/2009/9/main" objectType="Drop" dropLines="20" dropStyle="combo" dx="16" fmlaLink="rF1.FixedVergesSelection02" fmlaRange="rL1.FixedVergesList" sel="1" val="0"/>
</file>

<file path=xl/ctrlProps/ctrlProp92.xml><?xml version="1.0" encoding="utf-8"?>
<formControlPr xmlns="http://schemas.microsoft.com/office/spreadsheetml/2009/9/main" objectType="CheckBox" fmlaLink="rF1.CheckBendingMomentSlabTop" lockText="1" noThreeD="1"/>
</file>

<file path=xl/ctrlProps/ctrlProp93.xml><?xml version="1.0" encoding="utf-8"?>
<formControlPr xmlns="http://schemas.microsoft.com/office/spreadsheetml/2009/9/main" objectType="CheckBox" fmlaLink="rF1.CheckBendingMomentSlabBottom" lockText="1" noThreeD="1"/>
</file>

<file path=xl/ctrlProps/ctrlProp94.xml><?xml version="1.0" encoding="utf-8"?>
<formControlPr xmlns="http://schemas.microsoft.com/office/spreadsheetml/2009/9/main" objectType="CheckBox" fmlaLink="rF1.CheckBendingMomentSlabTop" lockText="1" noThreeD="1"/>
</file>

<file path=xl/ctrlProps/ctrlProp95.xml><?xml version="1.0" encoding="utf-8"?>
<formControlPr xmlns="http://schemas.microsoft.com/office/spreadsheetml/2009/9/main" objectType="CheckBox" checked="Checked" fmlaLink="rF1.CheckShowDetails" lockText="1"/>
</file>

<file path=xl/ctrlProps/ctrlProp96.xml><?xml version="1.0" encoding="utf-8"?>
<formControlPr xmlns="http://schemas.microsoft.com/office/spreadsheetml/2009/9/main" objectType="Drop" dropLines="20" dropStyle="combo" dx="16" fmlaLink="rF1.DesignSitSelection" fmlaRange="rD4.DesignSitList" sel="1" val="0"/>
</file>

<file path=xl/ctrlProps/ctrlProp97.xml><?xml version="1.0" encoding="utf-8"?>
<formControlPr xmlns="http://schemas.microsoft.com/office/spreadsheetml/2009/9/main" objectType="Drop" dropLines="20" dropStyle="combo" dx="16" fmlaLink="rF1.OverlappingSelection" fmlaRange="rF1.OverlappingList" sel="1" val="0"/>
</file>

<file path=xl/ctrlProps/ctrlProp98.xml><?xml version="1.0" encoding="utf-8"?>
<formControlPr xmlns="http://schemas.microsoft.com/office/spreadsheetml/2009/9/main" objectType="Drop" dropLines="20" dropStyle="combo" dx="16" fmlaLink="rF1.AufteilungMomenteWindSelection" fmlaRange="rL3.AufteilungMomenteWindList" sel="1" val="0"/>
</file>

<file path=xl/ctrlProps/ctrlProp99.xml><?xml version="1.0" encoding="utf-8"?>
<formControlPr xmlns="http://schemas.microsoft.com/office/spreadsheetml/2009/9/main" objectType="Drop" dropLines="20" dropStyle="combo" dx="16" fmlaLink="rF1.SafetyFactorDeadLoadSelection" fmlaRange="rF1.SafetyFactorDeadLoadList" sel="1"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3.xml"/><Relationship Id="rId7" Type="http://schemas.openxmlformats.org/officeDocument/2006/relationships/chart" Target="../charts/chart6.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5.jpeg"/><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4.xml"/><Relationship Id="rId3" Type="http://schemas.openxmlformats.org/officeDocument/2006/relationships/chart" Target="../charts/chart10.xml"/><Relationship Id="rId7" Type="http://schemas.openxmlformats.org/officeDocument/2006/relationships/chart" Target="../charts/chart13.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image" Target="../media/image5.jpeg"/><Relationship Id="rId5" Type="http://schemas.openxmlformats.org/officeDocument/2006/relationships/chart" Target="../charts/chart12.xml"/><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1.xml"/><Relationship Id="rId3" Type="http://schemas.openxmlformats.org/officeDocument/2006/relationships/chart" Target="../charts/chart17.xml"/><Relationship Id="rId7" Type="http://schemas.openxmlformats.org/officeDocument/2006/relationships/chart" Target="../charts/chart20.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image" Target="../media/image5.jpeg"/><Relationship Id="rId5" Type="http://schemas.openxmlformats.org/officeDocument/2006/relationships/chart" Target="../charts/chart19.xml"/><Relationship Id="rId4"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8" Type="http://schemas.openxmlformats.org/officeDocument/2006/relationships/chart" Target="../charts/chart28.xml"/><Relationship Id="rId3" Type="http://schemas.openxmlformats.org/officeDocument/2006/relationships/chart" Target="../charts/chart24.xml"/><Relationship Id="rId7" Type="http://schemas.openxmlformats.org/officeDocument/2006/relationships/chart" Target="../charts/chart27.xml"/><Relationship Id="rId2" Type="http://schemas.openxmlformats.org/officeDocument/2006/relationships/chart" Target="../charts/chart23.xml"/><Relationship Id="rId1" Type="http://schemas.openxmlformats.org/officeDocument/2006/relationships/chart" Target="../charts/chart22.xml"/><Relationship Id="rId6" Type="http://schemas.openxmlformats.org/officeDocument/2006/relationships/image" Target="../media/image5.jpeg"/><Relationship Id="rId5" Type="http://schemas.openxmlformats.org/officeDocument/2006/relationships/chart" Target="../charts/chart26.xml"/><Relationship Id="rId4" Type="http://schemas.openxmlformats.org/officeDocument/2006/relationships/chart" Target="../charts/chart25.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7</xdr:col>
      <xdr:colOff>228599</xdr:colOff>
      <xdr:row>7</xdr:row>
      <xdr:rowOff>190499</xdr:rowOff>
    </xdr:from>
    <xdr:to>
      <xdr:col>9</xdr:col>
      <xdr:colOff>651239</xdr:colOff>
      <xdr:row>9</xdr:row>
      <xdr:rowOff>24172</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73799" y="5435599"/>
          <a:ext cx="2149840" cy="7290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29</xdr:row>
          <xdr:rowOff>38100</xdr:rowOff>
        </xdr:from>
        <xdr:to>
          <xdr:col>12</xdr:col>
          <xdr:colOff>2286000</xdr:colOff>
          <xdr:row>30</xdr:row>
          <xdr:rowOff>0</xdr:rowOff>
        </xdr:to>
        <xdr:sp macro="" textlink="">
          <xdr:nvSpPr>
            <xdr:cNvPr id="1025" name="Drop Down 1"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29</xdr:row>
          <xdr:rowOff>38100</xdr:rowOff>
        </xdr:from>
        <xdr:to>
          <xdr:col>13</xdr:col>
          <xdr:colOff>2286000</xdr:colOff>
          <xdr:row>30</xdr:row>
          <xdr:rowOff>0</xdr:rowOff>
        </xdr:to>
        <xdr:sp macro="" textlink="">
          <xdr:nvSpPr>
            <xdr:cNvPr id="1026" name="Drop Down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29</xdr:row>
          <xdr:rowOff>38100</xdr:rowOff>
        </xdr:from>
        <xdr:to>
          <xdr:col>14</xdr:col>
          <xdr:colOff>2286000</xdr:colOff>
          <xdr:row>30</xdr:row>
          <xdr:rowOff>0</xdr:rowOff>
        </xdr:to>
        <xdr:sp macro="" textlink="">
          <xdr:nvSpPr>
            <xdr:cNvPr id="1027" name="Drop Down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38</xdr:row>
          <xdr:rowOff>19050</xdr:rowOff>
        </xdr:from>
        <xdr:to>
          <xdr:col>13</xdr:col>
          <xdr:colOff>2286000</xdr:colOff>
          <xdr:row>39</xdr:row>
          <xdr:rowOff>0</xdr:rowOff>
        </xdr:to>
        <xdr:sp macro="" textlink="">
          <xdr:nvSpPr>
            <xdr:cNvPr id="1035" name="Drop Down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38</xdr:row>
          <xdr:rowOff>19050</xdr:rowOff>
        </xdr:from>
        <xdr:to>
          <xdr:col>14</xdr:col>
          <xdr:colOff>2286000</xdr:colOff>
          <xdr:row>39</xdr:row>
          <xdr:rowOff>0</xdr:rowOff>
        </xdr:to>
        <xdr:sp macro="" textlink="">
          <xdr:nvSpPr>
            <xdr:cNvPr id="1036" name="Drop Down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48</xdr:row>
          <xdr:rowOff>19050</xdr:rowOff>
        </xdr:from>
        <xdr:to>
          <xdr:col>12</xdr:col>
          <xdr:colOff>2286000</xdr:colOff>
          <xdr:row>49</xdr:row>
          <xdr:rowOff>0</xdr:rowOff>
        </xdr:to>
        <xdr:sp macro="" textlink="">
          <xdr:nvSpPr>
            <xdr:cNvPr id="1043" name="Drop Down 19" hidden="1">
              <a:extLst>
                <a:ext uri="{63B3BB69-23CF-44E3-9099-C40C66FF867C}">
                  <a14:compatExt spid="_x0000_s1043"/>
                </a:ext>
                <a:ext uri="{FF2B5EF4-FFF2-40B4-BE49-F238E27FC236}">
                  <a16:creationId xmlns:a16="http://schemas.microsoft.com/office/drawing/2014/main" id="{00000000-0008-0000-0200-00001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49</xdr:row>
          <xdr:rowOff>19050</xdr:rowOff>
        </xdr:from>
        <xdr:to>
          <xdr:col>12</xdr:col>
          <xdr:colOff>2286000</xdr:colOff>
          <xdr:row>50</xdr:row>
          <xdr:rowOff>0</xdr:rowOff>
        </xdr:to>
        <xdr:sp macro="" textlink="">
          <xdr:nvSpPr>
            <xdr:cNvPr id="1044" name="Drop Down 20" hidden="1">
              <a:extLst>
                <a:ext uri="{63B3BB69-23CF-44E3-9099-C40C66FF867C}">
                  <a14:compatExt spid="_x0000_s1044"/>
                </a:ext>
                <a:ext uri="{FF2B5EF4-FFF2-40B4-BE49-F238E27FC236}">
                  <a16:creationId xmlns:a16="http://schemas.microsoft.com/office/drawing/2014/main" id="{00000000-0008-0000-0200-00001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54</xdr:row>
          <xdr:rowOff>9525</xdr:rowOff>
        </xdr:from>
        <xdr:to>
          <xdr:col>12</xdr:col>
          <xdr:colOff>2286000</xdr:colOff>
          <xdr:row>54</xdr:row>
          <xdr:rowOff>171450</xdr:rowOff>
        </xdr:to>
        <xdr:sp macro="" textlink="">
          <xdr:nvSpPr>
            <xdr:cNvPr id="1045" name="Drop Down 21" hidden="1">
              <a:extLst>
                <a:ext uri="{63B3BB69-23CF-44E3-9099-C40C66FF867C}">
                  <a14:compatExt spid="_x0000_s1045"/>
                </a:ext>
                <a:ext uri="{FF2B5EF4-FFF2-40B4-BE49-F238E27FC236}">
                  <a16:creationId xmlns:a16="http://schemas.microsoft.com/office/drawing/2014/main" id="{00000000-0008-0000-0200-00001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54</xdr:row>
          <xdr:rowOff>9525</xdr:rowOff>
        </xdr:from>
        <xdr:to>
          <xdr:col>13</xdr:col>
          <xdr:colOff>2286000</xdr:colOff>
          <xdr:row>54</xdr:row>
          <xdr:rowOff>171450</xdr:rowOff>
        </xdr:to>
        <xdr:sp macro="" textlink="">
          <xdr:nvSpPr>
            <xdr:cNvPr id="1046" name="Drop Down 22" hidden="1">
              <a:extLst>
                <a:ext uri="{63B3BB69-23CF-44E3-9099-C40C66FF867C}">
                  <a14:compatExt spid="_x0000_s1046"/>
                </a:ext>
                <a:ext uri="{FF2B5EF4-FFF2-40B4-BE49-F238E27FC236}">
                  <a16:creationId xmlns:a16="http://schemas.microsoft.com/office/drawing/2014/main" id="{00000000-0008-0000-0200-00001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54</xdr:row>
          <xdr:rowOff>9525</xdr:rowOff>
        </xdr:from>
        <xdr:to>
          <xdr:col>14</xdr:col>
          <xdr:colOff>2286000</xdr:colOff>
          <xdr:row>54</xdr:row>
          <xdr:rowOff>171450</xdr:rowOff>
        </xdr:to>
        <xdr:sp macro="" textlink="">
          <xdr:nvSpPr>
            <xdr:cNvPr id="1047" name="Drop Down 23" hidden="1">
              <a:extLst>
                <a:ext uri="{63B3BB69-23CF-44E3-9099-C40C66FF867C}">
                  <a14:compatExt spid="_x0000_s1047"/>
                </a:ext>
                <a:ext uri="{FF2B5EF4-FFF2-40B4-BE49-F238E27FC236}">
                  <a16:creationId xmlns:a16="http://schemas.microsoft.com/office/drawing/2014/main" id="{00000000-0008-0000-0200-00001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54</xdr:row>
          <xdr:rowOff>9525</xdr:rowOff>
        </xdr:from>
        <xdr:to>
          <xdr:col>15</xdr:col>
          <xdr:colOff>2286000</xdr:colOff>
          <xdr:row>54</xdr:row>
          <xdr:rowOff>171450</xdr:rowOff>
        </xdr:to>
        <xdr:sp macro="" textlink="">
          <xdr:nvSpPr>
            <xdr:cNvPr id="1048" name="Drop Down 24" hidden="1">
              <a:extLst>
                <a:ext uri="{63B3BB69-23CF-44E3-9099-C40C66FF867C}">
                  <a14:compatExt spid="_x0000_s104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48</xdr:row>
          <xdr:rowOff>19050</xdr:rowOff>
        </xdr:from>
        <xdr:to>
          <xdr:col>13</xdr:col>
          <xdr:colOff>2286000</xdr:colOff>
          <xdr:row>49</xdr:row>
          <xdr:rowOff>0</xdr:rowOff>
        </xdr:to>
        <xdr:sp macro="" textlink="">
          <xdr:nvSpPr>
            <xdr:cNvPr id="1049" name="Drop Down 25" hidden="1">
              <a:extLst>
                <a:ext uri="{63B3BB69-23CF-44E3-9099-C40C66FF867C}">
                  <a14:compatExt spid="_x0000_s104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48</xdr:row>
          <xdr:rowOff>19050</xdr:rowOff>
        </xdr:from>
        <xdr:to>
          <xdr:col>14</xdr:col>
          <xdr:colOff>2286000</xdr:colOff>
          <xdr:row>49</xdr:row>
          <xdr:rowOff>0</xdr:rowOff>
        </xdr:to>
        <xdr:sp macro="" textlink="">
          <xdr:nvSpPr>
            <xdr:cNvPr id="1050" name="Drop Down 26" hidden="1">
              <a:extLst>
                <a:ext uri="{63B3BB69-23CF-44E3-9099-C40C66FF867C}">
                  <a14:compatExt spid="_x0000_s1050"/>
                </a:ext>
                <a:ext uri="{FF2B5EF4-FFF2-40B4-BE49-F238E27FC236}">
                  <a16:creationId xmlns:a16="http://schemas.microsoft.com/office/drawing/2014/main" id="{00000000-0008-0000-0200-00001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48</xdr:row>
          <xdr:rowOff>19050</xdr:rowOff>
        </xdr:from>
        <xdr:to>
          <xdr:col>15</xdr:col>
          <xdr:colOff>2286000</xdr:colOff>
          <xdr:row>49</xdr:row>
          <xdr:rowOff>0</xdr:rowOff>
        </xdr:to>
        <xdr:sp macro="" textlink="">
          <xdr:nvSpPr>
            <xdr:cNvPr id="1051" name="Drop Down 27" hidden="1">
              <a:extLst>
                <a:ext uri="{63B3BB69-23CF-44E3-9099-C40C66FF867C}">
                  <a14:compatExt spid="_x0000_s105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49</xdr:row>
          <xdr:rowOff>19050</xdr:rowOff>
        </xdr:from>
        <xdr:to>
          <xdr:col>13</xdr:col>
          <xdr:colOff>2286000</xdr:colOff>
          <xdr:row>50</xdr:row>
          <xdr:rowOff>0</xdr:rowOff>
        </xdr:to>
        <xdr:sp macro="" textlink="">
          <xdr:nvSpPr>
            <xdr:cNvPr id="1052" name="Drop Down 28" hidden="1">
              <a:extLst>
                <a:ext uri="{63B3BB69-23CF-44E3-9099-C40C66FF867C}">
                  <a14:compatExt spid="_x0000_s105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49</xdr:row>
          <xdr:rowOff>19050</xdr:rowOff>
        </xdr:from>
        <xdr:to>
          <xdr:col>14</xdr:col>
          <xdr:colOff>2286000</xdr:colOff>
          <xdr:row>50</xdr:row>
          <xdr:rowOff>0</xdr:rowOff>
        </xdr:to>
        <xdr:sp macro="" textlink="">
          <xdr:nvSpPr>
            <xdr:cNvPr id="1053" name="Drop Down 29" hidden="1">
              <a:extLst>
                <a:ext uri="{63B3BB69-23CF-44E3-9099-C40C66FF867C}">
                  <a14:compatExt spid="_x0000_s105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49</xdr:row>
          <xdr:rowOff>19050</xdr:rowOff>
        </xdr:from>
        <xdr:to>
          <xdr:col>15</xdr:col>
          <xdr:colOff>2286000</xdr:colOff>
          <xdr:row>50</xdr:row>
          <xdr:rowOff>0</xdr:rowOff>
        </xdr:to>
        <xdr:sp macro="" textlink="">
          <xdr:nvSpPr>
            <xdr:cNvPr id="1054" name="Drop Down 30" hidden="1">
              <a:extLst>
                <a:ext uri="{63B3BB69-23CF-44E3-9099-C40C66FF867C}">
                  <a14:compatExt spid="_x0000_s1054"/>
                </a:ext>
                <a:ext uri="{FF2B5EF4-FFF2-40B4-BE49-F238E27FC236}">
                  <a16:creationId xmlns:a16="http://schemas.microsoft.com/office/drawing/2014/main" id="{00000000-0008-0000-0200-00001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30</xdr:row>
          <xdr:rowOff>38100</xdr:rowOff>
        </xdr:from>
        <xdr:to>
          <xdr:col>12</xdr:col>
          <xdr:colOff>2286000</xdr:colOff>
          <xdr:row>31</xdr:row>
          <xdr:rowOff>0</xdr:rowOff>
        </xdr:to>
        <xdr:sp macro="" textlink="">
          <xdr:nvSpPr>
            <xdr:cNvPr id="1055" name="Drop Down 31" hidden="1">
              <a:extLst>
                <a:ext uri="{63B3BB69-23CF-44E3-9099-C40C66FF867C}">
                  <a14:compatExt spid="_x0000_s1055"/>
                </a:ext>
                <a:ext uri="{FF2B5EF4-FFF2-40B4-BE49-F238E27FC236}">
                  <a16:creationId xmlns:a16="http://schemas.microsoft.com/office/drawing/2014/main" id="{00000000-0008-0000-0200-00001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28</xdr:row>
          <xdr:rowOff>38100</xdr:rowOff>
        </xdr:from>
        <xdr:to>
          <xdr:col>12</xdr:col>
          <xdr:colOff>2286000</xdr:colOff>
          <xdr:row>28</xdr:row>
          <xdr:rowOff>200025</xdr:rowOff>
        </xdr:to>
        <xdr:sp macro="" textlink="">
          <xdr:nvSpPr>
            <xdr:cNvPr id="1067" name="Drop Down 43" hidden="1">
              <a:extLst>
                <a:ext uri="{63B3BB69-23CF-44E3-9099-C40C66FF867C}">
                  <a14:compatExt spid="_x0000_s1067"/>
                </a:ext>
                <a:ext uri="{FF2B5EF4-FFF2-40B4-BE49-F238E27FC236}">
                  <a16:creationId xmlns:a16="http://schemas.microsoft.com/office/drawing/2014/main" id="{00000000-0008-0000-0200-00002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28</xdr:row>
          <xdr:rowOff>38100</xdr:rowOff>
        </xdr:from>
        <xdr:to>
          <xdr:col>13</xdr:col>
          <xdr:colOff>2286000</xdr:colOff>
          <xdr:row>28</xdr:row>
          <xdr:rowOff>200025</xdr:rowOff>
        </xdr:to>
        <xdr:sp macro="" textlink="">
          <xdr:nvSpPr>
            <xdr:cNvPr id="1068" name="Drop Down 44" hidden="1">
              <a:extLst>
                <a:ext uri="{63B3BB69-23CF-44E3-9099-C40C66FF867C}">
                  <a14:compatExt spid="_x0000_s1068"/>
                </a:ext>
                <a:ext uri="{FF2B5EF4-FFF2-40B4-BE49-F238E27FC236}">
                  <a16:creationId xmlns:a16="http://schemas.microsoft.com/office/drawing/2014/main" id="{00000000-0008-0000-02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14</xdr:col>
          <xdr:colOff>2286000</xdr:colOff>
          <xdr:row>28</xdr:row>
          <xdr:rowOff>200025</xdr:rowOff>
        </xdr:to>
        <xdr:sp macro="" textlink="">
          <xdr:nvSpPr>
            <xdr:cNvPr id="1069" name="Drop Down 45" hidden="1">
              <a:extLst>
                <a:ext uri="{63B3BB69-23CF-44E3-9099-C40C66FF867C}">
                  <a14:compatExt spid="_x0000_s1069"/>
                </a:ext>
                <a:ext uri="{FF2B5EF4-FFF2-40B4-BE49-F238E27FC236}">
                  <a16:creationId xmlns:a16="http://schemas.microsoft.com/office/drawing/2014/main" id="{00000000-0008-0000-0200-00002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10</xdr:col>
      <xdr:colOff>201146</xdr:colOff>
      <xdr:row>89</xdr:row>
      <xdr:rowOff>47625</xdr:rowOff>
    </xdr:from>
    <xdr:to>
      <xdr:col>13</xdr:col>
      <xdr:colOff>301346</xdr:colOff>
      <xdr:row>104</xdr:row>
      <xdr:rowOff>136800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1098736</xdr:colOff>
      <xdr:row>105</xdr:row>
      <xdr:rowOff>180974</xdr:rowOff>
    </xdr:from>
    <xdr:to>
      <xdr:col>14</xdr:col>
      <xdr:colOff>1418460</xdr:colOff>
      <xdr:row>121</xdr:row>
      <xdr:rowOff>165374</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613520</xdr:colOff>
      <xdr:row>88</xdr:row>
      <xdr:rowOff>180975</xdr:rowOff>
    </xdr:from>
    <xdr:to>
      <xdr:col>15</xdr:col>
      <xdr:colOff>2011070</xdr:colOff>
      <xdr:row>105</xdr:row>
      <xdr:rowOff>40575</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193862</xdr:colOff>
      <xdr:row>106</xdr:row>
      <xdr:rowOff>2239</xdr:rowOff>
    </xdr:from>
    <xdr:to>
      <xdr:col>13</xdr:col>
      <xdr:colOff>294062</xdr:colOff>
      <xdr:row>121</xdr:row>
      <xdr:rowOff>167614</xdr:rowOff>
    </xdr:to>
    <xdr:graphicFrame macro="">
      <xdr:nvGraphicFramePr>
        <xdr:cNvPr id="37" name="Diagramm 36">
          <a:extLst>
            <a:ext uri="{FF2B5EF4-FFF2-40B4-BE49-F238E27FC236}">
              <a16:creationId xmlns:a16="http://schemas.microsoft.com/office/drawing/2014/main" id="{00000000-0008-0000-02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editAs="oneCell">
        <xdr:from>
          <xdr:col>12</xdr:col>
          <xdr:colOff>57150</xdr:colOff>
          <xdr:row>69</xdr:row>
          <xdr:rowOff>0</xdr:rowOff>
        </xdr:from>
        <xdr:to>
          <xdr:col>13</xdr:col>
          <xdr:colOff>1438275</xdr:colOff>
          <xdr:row>70</xdr:row>
          <xdr:rowOff>9525</xdr:rowOff>
        </xdr:to>
        <xdr:sp macro="" textlink="">
          <xdr:nvSpPr>
            <xdr:cNvPr id="1071" name="Check Box 47" descr="N in Wandmitt und -fuß automatisch berechnen" hidden="1">
              <a:extLst>
                <a:ext uri="{63B3BB69-23CF-44E3-9099-C40C66FF867C}">
                  <a14:compatExt spid="_x0000_s1071"/>
                </a:ext>
                <a:ext uri="{FF2B5EF4-FFF2-40B4-BE49-F238E27FC236}">
                  <a16:creationId xmlns:a16="http://schemas.microsoft.com/office/drawing/2014/main" id="{00000000-0008-0000-02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 N in Wandmitte und -fuß automatisch berechnen</a:t>
              </a:r>
            </a:p>
          </xdr:txBody>
        </xdr:sp>
        <xdr:clientData/>
      </xdr:twoCellAnchor>
    </mc:Choice>
    <mc:Fallback/>
  </mc:AlternateContent>
  <xdr:twoCellAnchor editAs="oneCell">
    <xdr:from>
      <xdr:col>14</xdr:col>
      <xdr:colOff>1685924</xdr:colOff>
      <xdr:row>106</xdr:row>
      <xdr:rowOff>0</xdr:rowOff>
    </xdr:from>
    <xdr:to>
      <xdr:col>15</xdr:col>
      <xdr:colOff>2005650</xdr:colOff>
      <xdr:row>121</xdr:row>
      <xdr:rowOff>165375</xdr:rowOff>
    </xdr:to>
    <xdr:graphicFrame macro="">
      <xdr:nvGraphicFramePr>
        <xdr:cNvPr id="40" name="Diagramm 39">
          <a:extLst>
            <a:ext uri="{FF2B5EF4-FFF2-40B4-BE49-F238E27FC236}">
              <a16:creationId xmlns:a16="http://schemas.microsoft.com/office/drawing/2014/main" id="{00000000-0008-0000-02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editAs="oneCell">
        <xdr:from>
          <xdr:col>13</xdr:col>
          <xdr:colOff>47625</xdr:colOff>
          <xdr:row>40</xdr:row>
          <xdr:rowOff>19050</xdr:rowOff>
        </xdr:from>
        <xdr:to>
          <xdr:col>13</xdr:col>
          <xdr:colOff>2286000</xdr:colOff>
          <xdr:row>41</xdr:row>
          <xdr:rowOff>0</xdr:rowOff>
        </xdr:to>
        <xdr:sp macro="" textlink="">
          <xdr:nvSpPr>
            <xdr:cNvPr id="1073" name="Drop Down 49" hidden="1">
              <a:extLst>
                <a:ext uri="{63B3BB69-23CF-44E3-9099-C40C66FF867C}">
                  <a14:compatExt spid="_x0000_s1073"/>
                </a:ext>
                <a:ext uri="{FF2B5EF4-FFF2-40B4-BE49-F238E27FC236}">
                  <a16:creationId xmlns:a16="http://schemas.microsoft.com/office/drawing/2014/main" id="{00000000-0008-0000-02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2847975</xdr:colOff>
          <xdr:row>40</xdr:row>
          <xdr:rowOff>171450</xdr:rowOff>
        </xdr:from>
        <xdr:to>
          <xdr:col>11</xdr:col>
          <xdr:colOff>0</xdr:colOff>
          <xdr:row>41</xdr:row>
          <xdr:rowOff>190500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2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2847975</xdr:colOff>
          <xdr:row>42</xdr:row>
          <xdr:rowOff>0</xdr:rowOff>
        </xdr:from>
        <xdr:to>
          <xdr:col>11</xdr:col>
          <xdr:colOff>0</xdr:colOff>
          <xdr:row>43</xdr:row>
          <xdr:rowOff>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2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177353</xdr:colOff>
      <xdr:row>71</xdr:row>
      <xdr:rowOff>101157</xdr:rowOff>
    </xdr:from>
    <xdr:to>
      <xdr:col>20</xdr:col>
      <xdr:colOff>405481</xdr:colOff>
      <xdr:row>72</xdr:row>
      <xdr:rowOff>102151</xdr:rowOff>
    </xdr:to>
    <xdr:grpSp>
      <xdr:nvGrpSpPr>
        <xdr:cNvPr id="13" name="Gruppieren 12">
          <a:extLst>
            <a:ext uri="{FF2B5EF4-FFF2-40B4-BE49-F238E27FC236}">
              <a16:creationId xmlns:a16="http://schemas.microsoft.com/office/drawing/2014/main" id="{00000000-0008-0000-0200-00000D000000}"/>
            </a:ext>
          </a:extLst>
        </xdr:cNvPr>
        <xdr:cNvGrpSpPr/>
      </xdr:nvGrpSpPr>
      <xdr:grpSpPr>
        <a:xfrm>
          <a:off x="13220700" y="11712132"/>
          <a:ext cx="0" cy="220069"/>
          <a:chOff x="17981263" y="13161634"/>
          <a:chExt cx="368084" cy="308976"/>
        </a:xfrm>
      </xdr:grpSpPr>
      <xdr:sp macro="" textlink="">
        <xdr:nvSpPr>
          <xdr:cNvPr id="10" name="Gleichschenkliges Dreieck 9">
            <a:extLst>
              <a:ext uri="{FF2B5EF4-FFF2-40B4-BE49-F238E27FC236}">
                <a16:creationId xmlns:a16="http://schemas.microsoft.com/office/drawing/2014/main" id="{00000000-0008-0000-0200-00000A000000}"/>
              </a:ext>
            </a:extLst>
          </xdr:cNvPr>
          <xdr:cNvSpPr/>
        </xdr:nvSpPr>
        <xdr:spPr>
          <a:xfrm>
            <a:off x="18039381" y="13318855"/>
            <a:ext cx="258305" cy="116237"/>
          </a:xfrm>
          <a:prstGeom prst="triangle">
            <a:avLst/>
          </a:prstGeom>
          <a:solidFill>
            <a:srgbClr val="DDDDDD"/>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sp macro="" textlink="">
        <xdr:nvSpPr>
          <xdr:cNvPr id="9" name="Ellipse 8">
            <a:extLst>
              <a:ext uri="{FF2B5EF4-FFF2-40B4-BE49-F238E27FC236}">
                <a16:creationId xmlns:a16="http://schemas.microsoft.com/office/drawing/2014/main" id="{00000000-0008-0000-0200-000009000000}"/>
              </a:ext>
            </a:extLst>
          </xdr:cNvPr>
          <xdr:cNvSpPr/>
        </xdr:nvSpPr>
        <xdr:spPr>
          <a:xfrm>
            <a:off x="18141250" y="13289312"/>
            <a:ext cx="57150" cy="57150"/>
          </a:xfrm>
          <a:prstGeom prst="ellipse">
            <a:avLst/>
          </a:prstGeom>
          <a:solidFill>
            <a:srgbClr val="DDDDDD"/>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cxnSp macro="">
        <xdr:nvCxnSpPr>
          <xdr:cNvPr id="12" name="Gerader Verbinder 11">
            <a:extLst>
              <a:ext uri="{FF2B5EF4-FFF2-40B4-BE49-F238E27FC236}">
                <a16:creationId xmlns:a16="http://schemas.microsoft.com/office/drawing/2014/main" id="{00000000-0008-0000-0200-00000C000000}"/>
              </a:ext>
            </a:extLst>
          </xdr:cNvPr>
          <xdr:cNvCxnSpPr/>
        </xdr:nvCxnSpPr>
        <xdr:spPr>
          <a:xfrm>
            <a:off x="17981263" y="13470610"/>
            <a:ext cx="368084"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sp macro="" textlink="">
        <xdr:nvSpPr>
          <xdr:cNvPr id="72" name="Ellipse 71">
            <a:extLst>
              <a:ext uri="{FF2B5EF4-FFF2-40B4-BE49-F238E27FC236}">
                <a16:creationId xmlns:a16="http://schemas.microsoft.com/office/drawing/2014/main" id="{00000000-0008-0000-0200-000048000000}"/>
              </a:ext>
            </a:extLst>
          </xdr:cNvPr>
          <xdr:cNvSpPr/>
        </xdr:nvSpPr>
        <xdr:spPr>
          <a:xfrm>
            <a:off x="18141249" y="13161634"/>
            <a:ext cx="57150" cy="57150"/>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grpSp>
    <xdr:clientData/>
  </xdr:twoCellAnchor>
  <xdr:twoCellAnchor>
    <xdr:from>
      <xdr:col>21</xdr:col>
      <xdr:colOff>101631</xdr:colOff>
      <xdr:row>72</xdr:row>
      <xdr:rowOff>46791</xdr:rowOff>
    </xdr:from>
    <xdr:to>
      <xdr:col>21</xdr:col>
      <xdr:colOff>252077</xdr:colOff>
      <xdr:row>74</xdr:row>
      <xdr:rowOff>87514</xdr:rowOff>
    </xdr:to>
    <xdr:grpSp>
      <xdr:nvGrpSpPr>
        <xdr:cNvPr id="18" name="Gruppieren 17">
          <a:extLst>
            <a:ext uri="{FF2B5EF4-FFF2-40B4-BE49-F238E27FC236}">
              <a16:creationId xmlns:a16="http://schemas.microsoft.com/office/drawing/2014/main" id="{00000000-0008-0000-0200-000012000000}"/>
            </a:ext>
          </a:extLst>
        </xdr:cNvPr>
        <xdr:cNvGrpSpPr/>
      </xdr:nvGrpSpPr>
      <xdr:grpSpPr>
        <a:xfrm>
          <a:off x="13220700" y="11876841"/>
          <a:ext cx="0" cy="421723"/>
          <a:chOff x="17738525" y="12272010"/>
          <a:chExt cx="197568" cy="522573"/>
        </a:xfrm>
      </xdr:grpSpPr>
      <xdr:cxnSp macro="">
        <xdr:nvCxnSpPr>
          <xdr:cNvPr id="62" name="Gerader Verbinder 61">
            <a:extLst>
              <a:ext uri="{FF2B5EF4-FFF2-40B4-BE49-F238E27FC236}">
                <a16:creationId xmlns:a16="http://schemas.microsoft.com/office/drawing/2014/main" id="{00000000-0008-0000-0200-00003E000000}"/>
              </a:ext>
            </a:extLst>
          </xdr:cNvPr>
          <xdr:cNvCxnSpPr/>
        </xdr:nvCxnSpPr>
        <xdr:spPr>
          <a:xfrm flipV="1">
            <a:off x="17738525" y="12440865"/>
            <a:ext cx="109122" cy="109119"/>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cxnSp macro="">
        <xdr:nvCxnSpPr>
          <xdr:cNvPr id="15" name="Gerader Verbinder 14">
            <a:extLst>
              <a:ext uri="{FF2B5EF4-FFF2-40B4-BE49-F238E27FC236}">
                <a16:creationId xmlns:a16="http://schemas.microsoft.com/office/drawing/2014/main" id="{00000000-0008-0000-0200-00000F000000}"/>
              </a:ext>
            </a:extLst>
          </xdr:cNvPr>
          <xdr:cNvCxnSpPr/>
        </xdr:nvCxnSpPr>
        <xdr:spPr>
          <a:xfrm flipV="1">
            <a:off x="17849504" y="12302319"/>
            <a:ext cx="0" cy="412347"/>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7" name="Gerader Verbinder 16">
            <a:extLst>
              <a:ext uri="{FF2B5EF4-FFF2-40B4-BE49-F238E27FC236}">
                <a16:creationId xmlns:a16="http://schemas.microsoft.com/office/drawing/2014/main" id="{00000000-0008-0000-0200-000011000000}"/>
              </a:ext>
            </a:extLst>
          </xdr:cNvPr>
          <xdr:cNvCxnSpPr/>
        </xdr:nvCxnSpPr>
        <xdr:spPr>
          <a:xfrm flipV="1">
            <a:off x="17849502" y="12272010"/>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7" name="Gerader Verbinder 56">
            <a:extLst>
              <a:ext uri="{FF2B5EF4-FFF2-40B4-BE49-F238E27FC236}">
                <a16:creationId xmlns:a16="http://schemas.microsoft.com/office/drawing/2014/main" id="{00000000-0008-0000-0200-000039000000}"/>
              </a:ext>
            </a:extLst>
          </xdr:cNvPr>
          <xdr:cNvCxnSpPr/>
        </xdr:nvCxnSpPr>
        <xdr:spPr>
          <a:xfrm flipV="1">
            <a:off x="17849502" y="12354272"/>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8" name="Gerader Verbinder 57">
            <a:extLst>
              <a:ext uri="{FF2B5EF4-FFF2-40B4-BE49-F238E27FC236}">
                <a16:creationId xmlns:a16="http://schemas.microsoft.com/office/drawing/2014/main" id="{00000000-0008-0000-0200-00003A000000}"/>
              </a:ext>
            </a:extLst>
          </xdr:cNvPr>
          <xdr:cNvCxnSpPr/>
        </xdr:nvCxnSpPr>
        <xdr:spPr>
          <a:xfrm flipV="1">
            <a:off x="17849502" y="12440863"/>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9" name="Gerader Verbinder 58">
            <a:extLst>
              <a:ext uri="{FF2B5EF4-FFF2-40B4-BE49-F238E27FC236}">
                <a16:creationId xmlns:a16="http://schemas.microsoft.com/office/drawing/2014/main" id="{00000000-0008-0000-0200-00003B000000}"/>
              </a:ext>
            </a:extLst>
          </xdr:cNvPr>
          <xdr:cNvCxnSpPr/>
        </xdr:nvCxnSpPr>
        <xdr:spPr>
          <a:xfrm flipV="1">
            <a:off x="17849502" y="12523123"/>
            <a:ext cx="86591" cy="8763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60" name="Gerader Verbinder 59">
            <a:extLst>
              <a:ext uri="{FF2B5EF4-FFF2-40B4-BE49-F238E27FC236}">
                <a16:creationId xmlns:a16="http://schemas.microsoft.com/office/drawing/2014/main" id="{00000000-0008-0000-0200-00003C000000}"/>
              </a:ext>
            </a:extLst>
          </xdr:cNvPr>
          <xdr:cNvCxnSpPr/>
        </xdr:nvCxnSpPr>
        <xdr:spPr>
          <a:xfrm flipV="1">
            <a:off x="17849502" y="12602096"/>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66" name="Gerader Verbinder 65">
            <a:extLst>
              <a:ext uri="{FF2B5EF4-FFF2-40B4-BE49-F238E27FC236}">
                <a16:creationId xmlns:a16="http://schemas.microsoft.com/office/drawing/2014/main" id="{00000000-0008-0000-0200-000042000000}"/>
              </a:ext>
            </a:extLst>
          </xdr:cNvPr>
          <xdr:cNvCxnSpPr/>
        </xdr:nvCxnSpPr>
        <xdr:spPr>
          <a:xfrm flipV="1">
            <a:off x="17849502" y="12707992"/>
            <a:ext cx="86591" cy="86591"/>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63500</xdr:colOff>
      <xdr:row>72</xdr:row>
      <xdr:rowOff>71438</xdr:rowOff>
    </xdr:from>
    <xdr:to>
      <xdr:col>22</xdr:col>
      <xdr:colOff>213946</xdr:colOff>
      <xdr:row>74</xdr:row>
      <xdr:rowOff>102135</xdr:rowOff>
    </xdr:to>
    <xdr:grpSp>
      <xdr:nvGrpSpPr>
        <xdr:cNvPr id="75" name="Gruppieren 74">
          <a:extLst>
            <a:ext uri="{FF2B5EF4-FFF2-40B4-BE49-F238E27FC236}">
              <a16:creationId xmlns:a16="http://schemas.microsoft.com/office/drawing/2014/main" id="{00000000-0008-0000-0200-00004B000000}"/>
            </a:ext>
          </a:extLst>
        </xdr:cNvPr>
        <xdr:cNvGrpSpPr/>
      </xdr:nvGrpSpPr>
      <xdr:grpSpPr>
        <a:xfrm flipH="1">
          <a:off x="13220700" y="11901488"/>
          <a:ext cx="0" cy="411697"/>
          <a:chOff x="17738525" y="12272010"/>
          <a:chExt cx="197568" cy="522573"/>
        </a:xfrm>
      </xdr:grpSpPr>
      <xdr:cxnSp macro="">
        <xdr:nvCxnSpPr>
          <xdr:cNvPr id="76" name="Gerader Verbinder 75">
            <a:extLst>
              <a:ext uri="{FF2B5EF4-FFF2-40B4-BE49-F238E27FC236}">
                <a16:creationId xmlns:a16="http://schemas.microsoft.com/office/drawing/2014/main" id="{00000000-0008-0000-0200-00004C000000}"/>
              </a:ext>
            </a:extLst>
          </xdr:cNvPr>
          <xdr:cNvCxnSpPr/>
        </xdr:nvCxnSpPr>
        <xdr:spPr>
          <a:xfrm flipV="1">
            <a:off x="17738525" y="12440865"/>
            <a:ext cx="109122" cy="109119"/>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cxnSp macro="">
        <xdr:nvCxnSpPr>
          <xdr:cNvPr id="77" name="Gerader Verbinder 76">
            <a:extLst>
              <a:ext uri="{FF2B5EF4-FFF2-40B4-BE49-F238E27FC236}">
                <a16:creationId xmlns:a16="http://schemas.microsoft.com/office/drawing/2014/main" id="{00000000-0008-0000-0200-00004D000000}"/>
              </a:ext>
            </a:extLst>
          </xdr:cNvPr>
          <xdr:cNvCxnSpPr/>
        </xdr:nvCxnSpPr>
        <xdr:spPr>
          <a:xfrm flipV="1">
            <a:off x="17849504" y="12302319"/>
            <a:ext cx="0" cy="412347"/>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78" name="Gerader Verbinder 77">
            <a:extLst>
              <a:ext uri="{FF2B5EF4-FFF2-40B4-BE49-F238E27FC236}">
                <a16:creationId xmlns:a16="http://schemas.microsoft.com/office/drawing/2014/main" id="{00000000-0008-0000-0200-00004E000000}"/>
              </a:ext>
            </a:extLst>
          </xdr:cNvPr>
          <xdr:cNvCxnSpPr/>
        </xdr:nvCxnSpPr>
        <xdr:spPr>
          <a:xfrm flipV="1">
            <a:off x="17849502" y="12272010"/>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79" name="Gerader Verbinder 78">
            <a:extLst>
              <a:ext uri="{FF2B5EF4-FFF2-40B4-BE49-F238E27FC236}">
                <a16:creationId xmlns:a16="http://schemas.microsoft.com/office/drawing/2014/main" id="{00000000-0008-0000-0200-00004F000000}"/>
              </a:ext>
            </a:extLst>
          </xdr:cNvPr>
          <xdr:cNvCxnSpPr/>
        </xdr:nvCxnSpPr>
        <xdr:spPr>
          <a:xfrm flipV="1">
            <a:off x="17849502" y="12354272"/>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0" name="Gerader Verbinder 79">
            <a:extLst>
              <a:ext uri="{FF2B5EF4-FFF2-40B4-BE49-F238E27FC236}">
                <a16:creationId xmlns:a16="http://schemas.microsoft.com/office/drawing/2014/main" id="{00000000-0008-0000-0200-000050000000}"/>
              </a:ext>
            </a:extLst>
          </xdr:cNvPr>
          <xdr:cNvCxnSpPr/>
        </xdr:nvCxnSpPr>
        <xdr:spPr>
          <a:xfrm flipV="1">
            <a:off x="17849502" y="12440863"/>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Gerader Verbinder 80">
            <a:extLst>
              <a:ext uri="{FF2B5EF4-FFF2-40B4-BE49-F238E27FC236}">
                <a16:creationId xmlns:a16="http://schemas.microsoft.com/office/drawing/2014/main" id="{00000000-0008-0000-0200-000051000000}"/>
              </a:ext>
            </a:extLst>
          </xdr:cNvPr>
          <xdr:cNvCxnSpPr/>
        </xdr:nvCxnSpPr>
        <xdr:spPr>
          <a:xfrm flipV="1">
            <a:off x="17849502" y="12523123"/>
            <a:ext cx="86591" cy="8763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2" name="Gerader Verbinder 81">
            <a:extLst>
              <a:ext uri="{FF2B5EF4-FFF2-40B4-BE49-F238E27FC236}">
                <a16:creationId xmlns:a16="http://schemas.microsoft.com/office/drawing/2014/main" id="{00000000-0008-0000-0200-000052000000}"/>
              </a:ext>
            </a:extLst>
          </xdr:cNvPr>
          <xdr:cNvCxnSpPr/>
        </xdr:nvCxnSpPr>
        <xdr:spPr>
          <a:xfrm flipV="1">
            <a:off x="17849502" y="12602096"/>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3" name="Gerader Verbinder 82">
            <a:extLst>
              <a:ext uri="{FF2B5EF4-FFF2-40B4-BE49-F238E27FC236}">
                <a16:creationId xmlns:a16="http://schemas.microsoft.com/office/drawing/2014/main" id="{00000000-0008-0000-0200-000053000000}"/>
              </a:ext>
            </a:extLst>
          </xdr:cNvPr>
          <xdr:cNvCxnSpPr/>
        </xdr:nvCxnSpPr>
        <xdr:spPr>
          <a:xfrm flipV="1">
            <a:off x="17849502" y="12707992"/>
            <a:ext cx="86591" cy="86591"/>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10</xdr:col>
          <xdr:colOff>2847975</xdr:colOff>
          <xdr:row>40</xdr:row>
          <xdr:rowOff>171450</xdr:rowOff>
        </xdr:from>
        <xdr:to>
          <xdr:col>11</xdr:col>
          <xdr:colOff>0</xdr:colOff>
          <xdr:row>41</xdr:row>
          <xdr:rowOff>200025</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2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128</xdr:row>
          <xdr:rowOff>0</xdr:rowOff>
        </xdr:from>
        <xdr:to>
          <xdr:col>11</xdr:col>
          <xdr:colOff>219075</xdr:colOff>
          <xdr:row>129</xdr:row>
          <xdr:rowOff>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2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283036</xdr:colOff>
      <xdr:row>18</xdr:row>
      <xdr:rowOff>97972</xdr:rowOff>
    </xdr:from>
    <xdr:to>
      <xdr:col>15</xdr:col>
      <xdr:colOff>2083036</xdr:colOff>
      <xdr:row>19</xdr:row>
      <xdr:rowOff>524516</xdr:rowOff>
    </xdr:to>
    <xdr:pic>
      <xdr:nvPicPr>
        <xdr:cNvPr id="2" name="Grafi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1092550" y="337458"/>
          <a:ext cx="1800000" cy="607519"/>
        </a:xfrm>
        <a:prstGeom prst="rect">
          <a:avLst/>
        </a:prstGeom>
      </xdr:spPr>
    </xdr:pic>
    <xdr:clientData fLocksWithSheet="0"/>
  </xdr:twoCellAnchor>
  <mc:AlternateContent xmlns:mc="http://schemas.openxmlformats.org/markup-compatibility/2006">
    <mc:Choice xmlns:a14="http://schemas.microsoft.com/office/drawing/2010/main" Requires="a14">
      <xdr:twoCellAnchor editAs="oneCell">
        <xdr:from>
          <xdr:col>13</xdr:col>
          <xdr:colOff>47625</xdr:colOff>
          <xdr:row>36</xdr:row>
          <xdr:rowOff>19050</xdr:rowOff>
        </xdr:from>
        <xdr:to>
          <xdr:col>13</xdr:col>
          <xdr:colOff>2286000</xdr:colOff>
          <xdr:row>37</xdr:row>
          <xdr:rowOff>0</xdr:rowOff>
        </xdr:to>
        <xdr:sp macro="" textlink="">
          <xdr:nvSpPr>
            <xdr:cNvPr id="1161" name="Drop Down 137" hidden="1">
              <a:extLst>
                <a:ext uri="{63B3BB69-23CF-44E3-9099-C40C66FF867C}">
                  <a14:compatExt spid="_x0000_s1161"/>
                </a:ext>
                <a:ext uri="{FF2B5EF4-FFF2-40B4-BE49-F238E27FC236}">
                  <a16:creationId xmlns:a16="http://schemas.microsoft.com/office/drawing/2014/main" id="{00000000-0008-0000-0200-00008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31</xdr:row>
          <xdr:rowOff>19050</xdr:rowOff>
        </xdr:from>
        <xdr:to>
          <xdr:col>13</xdr:col>
          <xdr:colOff>2286000</xdr:colOff>
          <xdr:row>32</xdr:row>
          <xdr:rowOff>0</xdr:rowOff>
        </xdr:to>
        <xdr:sp macro="" textlink="">
          <xdr:nvSpPr>
            <xdr:cNvPr id="1189" name="Drop Down 165" hidden="1">
              <a:extLst>
                <a:ext uri="{63B3BB69-23CF-44E3-9099-C40C66FF867C}">
                  <a14:compatExt spid="_x0000_s1189"/>
                </a:ext>
                <a:ext uri="{FF2B5EF4-FFF2-40B4-BE49-F238E27FC236}">
                  <a16:creationId xmlns:a16="http://schemas.microsoft.com/office/drawing/2014/main" id="{00000000-0008-0000-0200-0000A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15</xdr:col>
      <xdr:colOff>9525</xdr:colOff>
      <xdr:row>28</xdr:row>
      <xdr:rowOff>38100</xdr:rowOff>
    </xdr:from>
    <xdr:to>
      <xdr:col>16</xdr:col>
      <xdr:colOff>39824</xdr:colOff>
      <xdr:row>33</xdr:row>
      <xdr:rowOff>151875</xdr:rowOff>
    </xdr:to>
    <xdr:graphicFrame macro="">
      <xdr:nvGraphicFramePr>
        <xdr:cNvPr id="64" name="Diagramm 63">
          <a:extLst>
            <a:ext uri="{FF2B5EF4-FFF2-40B4-BE49-F238E27FC236}">
              <a16:creationId xmlns:a16="http://schemas.microsoft.com/office/drawing/2014/main" id="{00000000-0008-0000-0200-00004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mc:AlternateContent xmlns:mc="http://schemas.openxmlformats.org/markup-compatibility/2006">
    <mc:Choice xmlns:a14="http://schemas.microsoft.com/office/drawing/2010/main" Requires="a14">
      <xdr:twoCellAnchor editAs="oneCell">
        <xdr:from>
          <xdr:col>14</xdr:col>
          <xdr:colOff>66675</xdr:colOff>
          <xdr:row>71</xdr:row>
          <xdr:rowOff>9525</xdr:rowOff>
        </xdr:from>
        <xdr:to>
          <xdr:col>14</xdr:col>
          <xdr:colOff>2305050</xdr:colOff>
          <xdr:row>71</xdr:row>
          <xdr:rowOff>171450</xdr:rowOff>
        </xdr:to>
        <xdr:sp macro="" textlink="">
          <xdr:nvSpPr>
            <xdr:cNvPr id="1190" name="Drop Down 166" hidden="1">
              <a:extLst>
                <a:ext uri="{63B3BB69-23CF-44E3-9099-C40C66FF867C}">
                  <a14:compatExt spid="_x0000_s1190"/>
                </a:ext>
                <a:ext uri="{FF2B5EF4-FFF2-40B4-BE49-F238E27FC236}">
                  <a16:creationId xmlns:a16="http://schemas.microsoft.com/office/drawing/2014/main" id="{00000000-0008-0000-0200-0000A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15</xdr:col>
      <xdr:colOff>0</xdr:colOff>
      <xdr:row>35</xdr:row>
      <xdr:rowOff>28575</xdr:rowOff>
    </xdr:from>
    <xdr:to>
      <xdr:col>16</xdr:col>
      <xdr:colOff>31724</xdr:colOff>
      <xdr:row>40</xdr:row>
      <xdr:rowOff>180450</xdr:rowOff>
    </xdr:to>
    <xdr:graphicFrame macro="">
      <xdr:nvGraphicFramePr>
        <xdr:cNvPr id="65" name="Diagramm 64">
          <a:extLst>
            <a:ext uri="{FF2B5EF4-FFF2-40B4-BE49-F238E27FC236}">
              <a16:creationId xmlns:a16="http://schemas.microsoft.com/office/drawing/2014/main" id="{00000000-0008-0000-0200-00004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mc:AlternateContent xmlns:mc="http://schemas.openxmlformats.org/markup-compatibility/2006">
    <mc:Choice xmlns:a14="http://schemas.microsoft.com/office/drawing/2010/main" Requires="a14">
      <xdr:twoCellAnchor editAs="oneCell">
        <xdr:from>
          <xdr:col>15</xdr:col>
          <xdr:colOff>47625</xdr:colOff>
          <xdr:row>69</xdr:row>
          <xdr:rowOff>9525</xdr:rowOff>
        </xdr:from>
        <xdr:to>
          <xdr:col>15</xdr:col>
          <xdr:colOff>2286000</xdr:colOff>
          <xdr:row>69</xdr:row>
          <xdr:rowOff>171450</xdr:rowOff>
        </xdr:to>
        <xdr:sp macro="" textlink="">
          <xdr:nvSpPr>
            <xdr:cNvPr id="1191" name="Drop Down 167" hidden="1">
              <a:extLst>
                <a:ext uri="{63B3BB69-23CF-44E3-9099-C40C66FF867C}">
                  <a14:compatExt spid="_x0000_s1191"/>
                </a:ext>
                <a:ext uri="{FF2B5EF4-FFF2-40B4-BE49-F238E27FC236}">
                  <a16:creationId xmlns:a16="http://schemas.microsoft.com/office/drawing/2014/main" id="{00000000-0008-0000-0200-0000A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39</xdr:row>
          <xdr:rowOff>19050</xdr:rowOff>
        </xdr:from>
        <xdr:to>
          <xdr:col>12</xdr:col>
          <xdr:colOff>2286000</xdr:colOff>
          <xdr:row>40</xdr:row>
          <xdr:rowOff>0</xdr:rowOff>
        </xdr:to>
        <xdr:sp macro="" textlink="">
          <xdr:nvSpPr>
            <xdr:cNvPr id="1192" name="Drop Down 168" hidden="1">
              <a:extLst>
                <a:ext uri="{63B3BB69-23CF-44E3-9099-C40C66FF867C}">
                  <a14:compatExt spid="_x0000_s1192"/>
                </a:ext>
                <a:ext uri="{FF2B5EF4-FFF2-40B4-BE49-F238E27FC236}">
                  <a16:creationId xmlns:a16="http://schemas.microsoft.com/office/drawing/2014/main" id="{00000000-0008-0000-0200-0000A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39</xdr:row>
          <xdr:rowOff>19050</xdr:rowOff>
        </xdr:from>
        <xdr:to>
          <xdr:col>13</xdr:col>
          <xdr:colOff>2286000</xdr:colOff>
          <xdr:row>40</xdr:row>
          <xdr:rowOff>0</xdr:rowOff>
        </xdr:to>
        <xdr:sp macro="" textlink="">
          <xdr:nvSpPr>
            <xdr:cNvPr id="1193" name="Drop Down 169" hidden="1">
              <a:extLst>
                <a:ext uri="{63B3BB69-23CF-44E3-9099-C40C66FF867C}">
                  <a14:compatExt spid="_x0000_s1193"/>
                </a:ext>
                <a:ext uri="{FF2B5EF4-FFF2-40B4-BE49-F238E27FC236}">
                  <a16:creationId xmlns:a16="http://schemas.microsoft.com/office/drawing/2014/main" id="{00000000-0008-0000-0200-0000A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37</xdr:row>
          <xdr:rowOff>19050</xdr:rowOff>
        </xdr:from>
        <xdr:to>
          <xdr:col>13</xdr:col>
          <xdr:colOff>2286000</xdr:colOff>
          <xdr:row>38</xdr:row>
          <xdr:rowOff>0</xdr:rowOff>
        </xdr:to>
        <xdr:sp macro="" textlink="">
          <xdr:nvSpPr>
            <xdr:cNvPr id="1194" name="Drop Down 170" hidden="1">
              <a:extLst>
                <a:ext uri="{63B3BB69-23CF-44E3-9099-C40C66FF867C}">
                  <a14:compatExt spid="_x0000_s1194"/>
                </a:ext>
                <a:ext uri="{FF2B5EF4-FFF2-40B4-BE49-F238E27FC236}">
                  <a16:creationId xmlns:a16="http://schemas.microsoft.com/office/drawing/2014/main" id="{00000000-0008-0000-0200-0000A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29</xdr:row>
          <xdr:rowOff>38100</xdr:rowOff>
        </xdr:from>
        <xdr:to>
          <xdr:col>12</xdr:col>
          <xdr:colOff>2286000</xdr:colOff>
          <xdr:row>30</xdr:row>
          <xdr:rowOff>0</xdr:rowOff>
        </xdr:to>
        <xdr:sp macro="" textlink="">
          <xdr:nvSpPr>
            <xdr:cNvPr id="25601" name="Drop Down 1" hidden="1">
              <a:extLst>
                <a:ext uri="{63B3BB69-23CF-44E3-9099-C40C66FF867C}">
                  <a14:compatExt spid="_x0000_s25601"/>
                </a:ext>
                <a:ext uri="{FF2B5EF4-FFF2-40B4-BE49-F238E27FC236}">
                  <a16:creationId xmlns:a16="http://schemas.microsoft.com/office/drawing/2014/main" id="{00000000-0008-0000-0300-000001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29</xdr:row>
          <xdr:rowOff>38100</xdr:rowOff>
        </xdr:from>
        <xdr:to>
          <xdr:col>13</xdr:col>
          <xdr:colOff>2286000</xdr:colOff>
          <xdr:row>30</xdr:row>
          <xdr:rowOff>0</xdr:rowOff>
        </xdr:to>
        <xdr:sp macro="" textlink="">
          <xdr:nvSpPr>
            <xdr:cNvPr id="25602" name="Drop Down 2" hidden="1">
              <a:extLst>
                <a:ext uri="{63B3BB69-23CF-44E3-9099-C40C66FF867C}">
                  <a14:compatExt spid="_x0000_s25602"/>
                </a:ext>
                <a:ext uri="{FF2B5EF4-FFF2-40B4-BE49-F238E27FC236}">
                  <a16:creationId xmlns:a16="http://schemas.microsoft.com/office/drawing/2014/main" id="{00000000-0008-0000-0300-000002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29</xdr:row>
          <xdr:rowOff>38100</xdr:rowOff>
        </xdr:from>
        <xdr:to>
          <xdr:col>14</xdr:col>
          <xdr:colOff>2286000</xdr:colOff>
          <xdr:row>30</xdr:row>
          <xdr:rowOff>0</xdr:rowOff>
        </xdr:to>
        <xdr:sp macro="" textlink="">
          <xdr:nvSpPr>
            <xdr:cNvPr id="25603" name="Drop Down 3" hidden="1">
              <a:extLst>
                <a:ext uri="{63B3BB69-23CF-44E3-9099-C40C66FF867C}">
                  <a14:compatExt spid="_x0000_s25603"/>
                </a:ext>
                <a:ext uri="{FF2B5EF4-FFF2-40B4-BE49-F238E27FC236}">
                  <a16:creationId xmlns:a16="http://schemas.microsoft.com/office/drawing/2014/main" id="{00000000-0008-0000-0300-000003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38</xdr:row>
          <xdr:rowOff>19050</xdr:rowOff>
        </xdr:from>
        <xdr:to>
          <xdr:col>13</xdr:col>
          <xdr:colOff>2286000</xdr:colOff>
          <xdr:row>39</xdr:row>
          <xdr:rowOff>0</xdr:rowOff>
        </xdr:to>
        <xdr:sp macro="" textlink="">
          <xdr:nvSpPr>
            <xdr:cNvPr id="25604" name="Drop Down 4" hidden="1">
              <a:extLst>
                <a:ext uri="{63B3BB69-23CF-44E3-9099-C40C66FF867C}">
                  <a14:compatExt spid="_x0000_s25604"/>
                </a:ext>
                <a:ext uri="{FF2B5EF4-FFF2-40B4-BE49-F238E27FC236}">
                  <a16:creationId xmlns:a16="http://schemas.microsoft.com/office/drawing/2014/main" id="{00000000-0008-0000-0300-000004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38</xdr:row>
          <xdr:rowOff>19050</xdr:rowOff>
        </xdr:from>
        <xdr:to>
          <xdr:col>14</xdr:col>
          <xdr:colOff>2286000</xdr:colOff>
          <xdr:row>39</xdr:row>
          <xdr:rowOff>0</xdr:rowOff>
        </xdr:to>
        <xdr:sp macro="" textlink="">
          <xdr:nvSpPr>
            <xdr:cNvPr id="25605" name="Drop Down 5" hidden="1">
              <a:extLst>
                <a:ext uri="{63B3BB69-23CF-44E3-9099-C40C66FF867C}">
                  <a14:compatExt spid="_x0000_s25605"/>
                </a:ext>
                <a:ext uri="{FF2B5EF4-FFF2-40B4-BE49-F238E27FC236}">
                  <a16:creationId xmlns:a16="http://schemas.microsoft.com/office/drawing/2014/main" id="{00000000-0008-0000-0300-000005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48</xdr:row>
          <xdr:rowOff>19050</xdr:rowOff>
        </xdr:from>
        <xdr:to>
          <xdr:col>12</xdr:col>
          <xdr:colOff>2286000</xdr:colOff>
          <xdr:row>49</xdr:row>
          <xdr:rowOff>0</xdr:rowOff>
        </xdr:to>
        <xdr:sp macro="" textlink="">
          <xdr:nvSpPr>
            <xdr:cNvPr id="25606" name="Drop Down 6" hidden="1">
              <a:extLst>
                <a:ext uri="{63B3BB69-23CF-44E3-9099-C40C66FF867C}">
                  <a14:compatExt spid="_x0000_s25606"/>
                </a:ext>
                <a:ext uri="{FF2B5EF4-FFF2-40B4-BE49-F238E27FC236}">
                  <a16:creationId xmlns:a16="http://schemas.microsoft.com/office/drawing/2014/main" id="{00000000-0008-0000-0300-000006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49</xdr:row>
          <xdr:rowOff>19050</xdr:rowOff>
        </xdr:from>
        <xdr:to>
          <xdr:col>12</xdr:col>
          <xdr:colOff>2286000</xdr:colOff>
          <xdr:row>50</xdr:row>
          <xdr:rowOff>0</xdr:rowOff>
        </xdr:to>
        <xdr:sp macro="" textlink="">
          <xdr:nvSpPr>
            <xdr:cNvPr id="25607" name="Drop Down 7" hidden="1">
              <a:extLst>
                <a:ext uri="{63B3BB69-23CF-44E3-9099-C40C66FF867C}">
                  <a14:compatExt spid="_x0000_s25607"/>
                </a:ext>
                <a:ext uri="{FF2B5EF4-FFF2-40B4-BE49-F238E27FC236}">
                  <a16:creationId xmlns:a16="http://schemas.microsoft.com/office/drawing/2014/main" id="{00000000-0008-0000-0300-000007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54</xdr:row>
          <xdr:rowOff>9525</xdr:rowOff>
        </xdr:from>
        <xdr:to>
          <xdr:col>12</xdr:col>
          <xdr:colOff>2286000</xdr:colOff>
          <xdr:row>54</xdr:row>
          <xdr:rowOff>171450</xdr:rowOff>
        </xdr:to>
        <xdr:sp macro="" textlink="">
          <xdr:nvSpPr>
            <xdr:cNvPr id="25608" name="Drop Down 8" hidden="1">
              <a:extLst>
                <a:ext uri="{63B3BB69-23CF-44E3-9099-C40C66FF867C}">
                  <a14:compatExt spid="_x0000_s25608"/>
                </a:ext>
                <a:ext uri="{FF2B5EF4-FFF2-40B4-BE49-F238E27FC236}">
                  <a16:creationId xmlns:a16="http://schemas.microsoft.com/office/drawing/2014/main" id="{00000000-0008-0000-0300-000008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54</xdr:row>
          <xdr:rowOff>9525</xdr:rowOff>
        </xdr:from>
        <xdr:to>
          <xdr:col>13</xdr:col>
          <xdr:colOff>2286000</xdr:colOff>
          <xdr:row>54</xdr:row>
          <xdr:rowOff>171450</xdr:rowOff>
        </xdr:to>
        <xdr:sp macro="" textlink="">
          <xdr:nvSpPr>
            <xdr:cNvPr id="25609" name="Drop Down 9" hidden="1">
              <a:extLst>
                <a:ext uri="{63B3BB69-23CF-44E3-9099-C40C66FF867C}">
                  <a14:compatExt spid="_x0000_s25609"/>
                </a:ext>
                <a:ext uri="{FF2B5EF4-FFF2-40B4-BE49-F238E27FC236}">
                  <a16:creationId xmlns:a16="http://schemas.microsoft.com/office/drawing/2014/main" id="{00000000-0008-0000-0300-000009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54</xdr:row>
          <xdr:rowOff>9525</xdr:rowOff>
        </xdr:from>
        <xdr:to>
          <xdr:col>14</xdr:col>
          <xdr:colOff>2286000</xdr:colOff>
          <xdr:row>54</xdr:row>
          <xdr:rowOff>171450</xdr:rowOff>
        </xdr:to>
        <xdr:sp macro="" textlink="">
          <xdr:nvSpPr>
            <xdr:cNvPr id="25610" name="Drop Down 10" hidden="1">
              <a:extLst>
                <a:ext uri="{63B3BB69-23CF-44E3-9099-C40C66FF867C}">
                  <a14:compatExt spid="_x0000_s25610"/>
                </a:ext>
                <a:ext uri="{FF2B5EF4-FFF2-40B4-BE49-F238E27FC236}">
                  <a16:creationId xmlns:a16="http://schemas.microsoft.com/office/drawing/2014/main" id="{00000000-0008-0000-0300-00000A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54</xdr:row>
          <xdr:rowOff>9525</xdr:rowOff>
        </xdr:from>
        <xdr:to>
          <xdr:col>15</xdr:col>
          <xdr:colOff>2286000</xdr:colOff>
          <xdr:row>54</xdr:row>
          <xdr:rowOff>171450</xdr:rowOff>
        </xdr:to>
        <xdr:sp macro="" textlink="">
          <xdr:nvSpPr>
            <xdr:cNvPr id="25611" name="Drop Down 11" hidden="1">
              <a:extLst>
                <a:ext uri="{63B3BB69-23CF-44E3-9099-C40C66FF867C}">
                  <a14:compatExt spid="_x0000_s25611"/>
                </a:ext>
                <a:ext uri="{FF2B5EF4-FFF2-40B4-BE49-F238E27FC236}">
                  <a16:creationId xmlns:a16="http://schemas.microsoft.com/office/drawing/2014/main" id="{00000000-0008-0000-0300-00000B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48</xdr:row>
          <xdr:rowOff>19050</xdr:rowOff>
        </xdr:from>
        <xdr:to>
          <xdr:col>13</xdr:col>
          <xdr:colOff>2286000</xdr:colOff>
          <xdr:row>49</xdr:row>
          <xdr:rowOff>0</xdr:rowOff>
        </xdr:to>
        <xdr:sp macro="" textlink="">
          <xdr:nvSpPr>
            <xdr:cNvPr id="25612" name="Drop Down 12" hidden="1">
              <a:extLst>
                <a:ext uri="{63B3BB69-23CF-44E3-9099-C40C66FF867C}">
                  <a14:compatExt spid="_x0000_s25612"/>
                </a:ext>
                <a:ext uri="{FF2B5EF4-FFF2-40B4-BE49-F238E27FC236}">
                  <a16:creationId xmlns:a16="http://schemas.microsoft.com/office/drawing/2014/main" id="{00000000-0008-0000-0300-00000C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48</xdr:row>
          <xdr:rowOff>19050</xdr:rowOff>
        </xdr:from>
        <xdr:to>
          <xdr:col>14</xdr:col>
          <xdr:colOff>2286000</xdr:colOff>
          <xdr:row>49</xdr:row>
          <xdr:rowOff>0</xdr:rowOff>
        </xdr:to>
        <xdr:sp macro="" textlink="">
          <xdr:nvSpPr>
            <xdr:cNvPr id="25613" name="Drop Down 13" hidden="1">
              <a:extLst>
                <a:ext uri="{63B3BB69-23CF-44E3-9099-C40C66FF867C}">
                  <a14:compatExt spid="_x0000_s25613"/>
                </a:ext>
                <a:ext uri="{FF2B5EF4-FFF2-40B4-BE49-F238E27FC236}">
                  <a16:creationId xmlns:a16="http://schemas.microsoft.com/office/drawing/2014/main" id="{00000000-0008-0000-0300-00000D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48</xdr:row>
          <xdr:rowOff>19050</xdr:rowOff>
        </xdr:from>
        <xdr:to>
          <xdr:col>15</xdr:col>
          <xdr:colOff>2286000</xdr:colOff>
          <xdr:row>49</xdr:row>
          <xdr:rowOff>0</xdr:rowOff>
        </xdr:to>
        <xdr:sp macro="" textlink="">
          <xdr:nvSpPr>
            <xdr:cNvPr id="25614" name="Drop Down 14" hidden="1">
              <a:extLst>
                <a:ext uri="{63B3BB69-23CF-44E3-9099-C40C66FF867C}">
                  <a14:compatExt spid="_x0000_s25614"/>
                </a:ext>
                <a:ext uri="{FF2B5EF4-FFF2-40B4-BE49-F238E27FC236}">
                  <a16:creationId xmlns:a16="http://schemas.microsoft.com/office/drawing/2014/main" id="{00000000-0008-0000-0300-00000E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49</xdr:row>
          <xdr:rowOff>19050</xdr:rowOff>
        </xdr:from>
        <xdr:to>
          <xdr:col>13</xdr:col>
          <xdr:colOff>2286000</xdr:colOff>
          <xdr:row>50</xdr:row>
          <xdr:rowOff>0</xdr:rowOff>
        </xdr:to>
        <xdr:sp macro="" textlink="">
          <xdr:nvSpPr>
            <xdr:cNvPr id="25615" name="Drop Down 15" hidden="1">
              <a:extLst>
                <a:ext uri="{63B3BB69-23CF-44E3-9099-C40C66FF867C}">
                  <a14:compatExt spid="_x0000_s25615"/>
                </a:ext>
                <a:ext uri="{FF2B5EF4-FFF2-40B4-BE49-F238E27FC236}">
                  <a16:creationId xmlns:a16="http://schemas.microsoft.com/office/drawing/2014/main" id="{00000000-0008-0000-0300-00000F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49</xdr:row>
          <xdr:rowOff>19050</xdr:rowOff>
        </xdr:from>
        <xdr:to>
          <xdr:col>14</xdr:col>
          <xdr:colOff>2286000</xdr:colOff>
          <xdr:row>50</xdr:row>
          <xdr:rowOff>0</xdr:rowOff>
        </xdr:to>
        <xdr:sp macro="" textlink="">
          <xdr:nvSpPr>
            <xdr:cNvPr id="25616" name="Drop Down 16" hidden="1">
              <a:extLst>
                <a:ext uri="{63B3BB69-23CF-44E3-9099-C40C66FF867C}">
                  <a14:compatExt spid="_x0000_s25616"/>
                </a:ext>
                <a:ext uri="{FF2B5EF4-FFF2-40B4-BE49-F238E27FC236}">
                  <a16:creationId xmlns:a16="http://schemas.microsoft.com/office/drawing/2014/main" id="{00000000-0008-0000-0300-000010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49</xdr:row>
          <xdr:rowOff>19050</xdr:rowOff>
        </xdr:from>
        <xdr:to>
          <xdr:col>15</xdr:col>
          <xdr:colOff>2286000</xdr:colOff>
          <xdr:row>50</xdr:row>
          <xdr:rowOff>0</xdr:rowOff>
        </xdr:to>
        <xdr:sp macro="" textlink="">
          <xdr:nvSpPr>
            <xdr:cNvPr id="25617" name="Drop Down 17" hidden="1">
              <a:extLst>
                <a:ext uri="{63B3BB69-23CF-44E3-9099-C40C66FF867C}">
                  <a14:compatExt spid="_x0000_s25617"/>
                </a:ext>
                <a:ext uri="{FF2B5EF4-FFF2-40B4-BE49-F238E27FC236}">
                  <a16:creationId xmlns:a16="http://schemas.microsoft.com/office/drawing/2014/main" id="{00000000-0008-0000-0300-000011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30</xdr:row>
          <xdr:rowOff>38100</xdr:rowOff>
        </xdr:from>
        <xdr:to>
          <xdr:col>12</xdr:col>
          <xdr:colOff>2286000</xdr:colOff>
          <xdr:row>31</xdr:row>
          <xdr:rowOff>0</xdr:rowOff>
        </xdr:to>
        <xdr:sp macro="" textlink="">
          <xdr:nvSpPr>
            <xdr:cNvPr id="25618" name="Drop Down 18" hidden="1">
              <a:extLst>
                <a:ext uri="{63B3BB69-23CF-44E3-9099-C40C66FF867C}">
                  <a14:compatExt spid="_x0000_s25618"/>
                </a:ext>
                <a:ext uri="{FF2B5EF4-FFF2-40B4-BE49-F238E27FC236}">
                  <a16:creationId xmlns:a16="http://schemas.microsoft.com/office/drawing/2014/main" id="{00000000-0008-0000-0300-000012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28</xdr:row>
          <xdr:rowOff>38100</xdr:rowOff>
        </xdr:from>
        <xdr:to>
          <xdr:col>12</xdr:col>
          <xdr:colOff>2286000</xdr:colOff>
          <xdr:row>28</xdr:row>
          <xdr:rowOff>200025</xdr:rowOff>
        </xdr:to>
        <xdr:sp macro="" textlink="">
          <xdr:nvSpPr>
            <xdr:cNvPr id="25619" name="Drop Down 19" hidden="1">
              <a:extLst>
                <a:ext uri="{63B3BB69-23CF-44E3-9099-C40C66FF867C}">
                  <a14:compatExt spid="_x0000_s25619"/>
                </a:ext>
                <a:ext uri="{FF2B5EF4-FFF2-40B4-BE49-F238E27FC236}">
                  <a16:creationId xmlns:a16="http://schemas.microsoft.com/office/drawing/2014/main" id="{00000000-0008-0000-0300-000013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28</xdr:row>
          <xdr:rowOff>38100</xdr:rowOff>
        </xdr:from>
        <xdr:to>
          <xdr:col>13</xdr:col>
          <xdr:colOff>2286000</xdr:colOff>
          <xdr:row>28</xdr:row>
          <xdr:rowOff>200025</xdr:rowOff>
        </xdr:to>
        <xdr:sp macro="" textlink="">
          <xdr:nvSpPr>
            <xdr:cNvPr id="25620" name="Drop Down 20" hidden="1">
              <a:extLst>
                <a:ext uri="{63B3BB69-23CF-44E3-9099-C40C66FF867C}">
                  <a14:compatExt spid="_x0000_s25620"/>
                </a:ext>
                <a:ext uri="{FF2B5EF4-FFF2-40B4-BE49-F238E27FC236}">
                  <a16:creationId xmlns:a16="http://schemas.microsoft.com/office/drawing/2014/main" id="{00000000-0008-0000-0300-000014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14</xdr:col>
          <xdr:colOff>2286000</xdr:colOff>
          <xdr:row>28</xdr:row>
          <xdr:rowOff>200025</xdr:rowOff>
        </xdr:to>
        <xdr:sp macro="" textlink="">
          <xdr:nvSpPr>
            <xdr:cNvPr id="25621" name="Drop Down 21" hidden="1">
              <a:extLst>
                <a:ext uri="{63B3BB69-23CF-44E3-9099-C40C66FF867C}">
                  <a14:compatExt spid="_x0000_s25621"/>
                </a:ext>
                <a:ext uri="{FF2B5EF4-FFF2-40B4-BE49-F238E27FC236}">
                  <a16:creationId xmlns:a16="http://schemas.microsoft.com/office/drawing/2014/main" id="{00000000-0008-0000-0300-000015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10</xdr:col>
      <xdr:colOff>201146</xdr:colOff>
      <xdr:row>89</xdr:row>
      <xdr:rowOff>47625</xdr:rowOff>
    </xdr:from>
    <xdr:to>
      <xdr:col>13</xdr:col>
      <xdr:colOff>301346</xdr:colOff>
      <xdr:row>104</xdr:row>
      <xdr:rowOff>136800</xdr:rowOff>
    </xdr:to>
    <xdr:graphicFrame macro="">
      <xdr:nvGraphicFramePr>
        <xdr:cNvPr id="23" name="Diagramm 22">
          <a:extLst>
            <a:ext uri="{FF2B5EF4-FFF2-40B4-BE49-F238E27FC236}">
              <a16:creationId xmlns:a16="http://schemas.microsoft.com/office/drawing/2014/main" id="{00000000-0008-0000-03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1098736</xdr:colOff>
      <xdr:row>105</xdr:row>
      <xdr:rowOff>180974</xdr:rowOff>
    </xdr:from>
    <xdr:to>
      <xdr:col>14</xdr:col>
      <xdr:colOff>1418460</xdr:colOff>
      <xdr:row>121</xdr:row>
      <xdr:rowOff>165374</xdr:rowOff>
    </xdr:to>
    <xdr:graphicFrame macro="">
      <xdr:nvGraphicFramePr>
        <xdr:cNvPr id="24" name="Diagramm 23">
          <a:extLst>
            <a:ext uri="{FF2B5EF4-FFF2-40B4-BE49-F238E27FC236}">
              <a16:creationId xmlns:a16="http://schemas.microsoft.com/office/drawing/2014/main" id="{00000000-0008-0000-03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613520</xdr:colOff>
      <xdr:row>88</xdr:row>
      <xdr:rowOff>180975</xdr:rowOff>
    </xdr:from>
    <xdr:to>
      <xdr:col>15</xdr:col>
      <xdr:colOff>2011070</xdr:colOff>
      <xdr:row>105</xdr:row>
      <xdr:rowOff>40575</xdr:rowOff>
    </xdr:to>
    <xdr:graphicFrame macro="">
      <xdr:nvGraphicFramePr>
        <xdr:cNvPr id="25" name="Diagramm 24">
          <a:extLst>
            <a:ext uri="{FF2B5EF4-FFF2-40B4-BE49-F238E27FC236}">
              <a16:creationId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193862</xdr:colOff>
      <xdr:row>106</xdr:row>
      <xdr:rowOff>2239</xdr:rowOff>
    </xdr:from>
    <xdr:to>
      <xdr:col>13</xdr:col>
      <xdr:colOff>294062</xdr:colOff>
      <xdr:row>121</xdr:row>
      <xdr:rowOff>167614</xdr:rowOff>
    </xdr:to>
    <xdr:graphicFrame macro="">
      <xdr:nvGraphicFramePr>
        <xdr:cNvPr id="26" name="Diagramm 25">
          <a:extLst>
            <a:ext uri="{FF2B5EF4-FFF2-40B4-BE49-F238E27FC236}">
              <a16:creationId xmlns:a16="http://schemas.microsoft.com/office/drawing/2014/main" id="{00000000-0008-0000-03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editAs="oneCell">
        <xdr:from>
          <xdr:col>12</xdr:col>
          <xdr:colOff>57150</xdr:colOff>
          <xdr:row>69</xdr:row>
          <xdr:rowOff>0</xdr:rowOff>
        </xdr:from>
        <xdr:to>
          <xdr:col>13</xdr:col>
          <xdr:colOff>1438275</xdr:colOff>
          <xdr:row>70</xdr:row>
          <xdr:rowOff>9525</xdr:rowOff>
        </xdr:to>
        <xdr:sp macro="" textlink="">
          <xdr:nvSpPr>
            <xdr:cNvPr id="25622" name="Check Box 22" descr="N in Wandmitt und -fuß automatisch berechnen" hidden="1">
              <a:extLst>
                <a:ext uri="{63B3BB69-23CF-44E3-9099-C40C66FF867C}">
                  <a14:compatExt spid="_x0000_s25622"/>
                </a:ext>
                <a:ext uri="{FF2B5EF4-FFF2-40B4-BE49-F238E27FC236}">
                  <a16:creationId xmlns:a16="http://schemas.microsoft.com/office/drawing/2014/main" id="{00000000-0008-0000-0300-00001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 N in Wandmitte und -fuß automatisch berechnen</a:t>
              </a:r>
            </a:p>
          </xdr:txBody>
        </xdr:sp>
        <xdr:clientData/>
      </xdr:twoCellAnchor>
    </mc:Choice>
    <mc:Fallback/>
  </mc:AlternateContent>
  <xdr:twoCellAnchor editAs="oneCell">
    <xdr:from>
      <xdr:col>14</xdr:col>
      <xdr:colOff>1685924</xdr:colOff>
      <xdr:row>106</xdr:row>
      <xdr:rowOff>0</xdr:rowOff>
    </xdr:from>
    <xdr:to>
      <xdr:col>15</xdr:col>
      <xdr:colOff>2005650</xdr:colOff>
      <xdr:row>121</xdr:row>
      <xdr:rowOff>165375</xdr:rowOff>
    </xdr:to>
    <xdr:graphicFrame macro="">
      <xdr:nvGraphicFramePr>
        <xdr:cNvPr id="28" name="Diagramm 27">
          <a:extLst>
            <a:ext uri="{FF2B5EF4-FFF2-40B4-BE49-F238E27FC236}">
              <a16:creationId xmlns:a16="http://schemas.microsoft.com/office/drawing/2014/main" id="{00000000-0008-0000-03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editAs="oneCell">
        <xdr:from>
          <xdr:col>13</xdr:col>
          <xdr:colOff>47625</xdr:colOff>
          <xdr:row>40</xdr:row>
          <xdr:rowOff>19050</xdr:rowOff>
        </xdr:from>
        <xdr:to>
          <xdr:col>13</xdr:col>
          <xdr:colOff>2286000</xdr:colOff>
          <xdr:row>41</xdr:row>
          <xdr:rowOff>0</xdr:rowOff>
        </xdr:to>
        <xdr:sp macro="" textlink="">
          <xdr:nvSpPr>
            <xdr:cNvPr id="25623" name="Drop Down 23" hidden="1">
              <a:extLst>
                <a:ext uri="{63B3BB69-23CF-44E3-9099-C40C66FF867C}">
                  <a14:compatExt spid="_x0000_s25623"/>
                </a:ext>
                <a:ext uri="{FF2B5EF4-FFF2-40B4-BE49-F238E27FC236}">
                  <a16:creationId xmlns:a16="http://schemas.microsoft.com/office/drawing/2014/main" id="{00000000-0008-0000-0300-000017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2847975</xdr:colOff>
          <xdr:row>40</xdr:row>
          <xdr:rowOff>171450</xdr:rowOff>
        </xdr:from>
        <xdr:to>
          <xdr:col>11</xdr:col>
          <xdr:colOff>0</xdr:colOff>
          <xdr:row>41</xdr:row>
          <xdr:rowOff>190500</xdr:rowOff>
        </xdr:to>
        <xdr:sp macro="" textlink="">
          <xdr:nvSpPr>
            <xdr:cNvPr id="25624" name="Check Box 24" hidden="1">
              <a:extLst>
                <a:ext uri="{63B3BB69-23CF-44E3-9099-C40C66FF867C}">
                  <a14:compatExt spid="_x0000_s25624"/>
                </a:ext>
                <a:ext uri="{FF2B5EF4-FFF2-40B4-BE49-F238E27FC236}">
                  <a16:creationId xmlns:a16="http://schemas.microsoft.com/office/drawing/2014/main" id="{00000000-0008-0000-0300-00001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2847975</xdr:colOff>
          <xdr:row>42</xdr:row>
          <xdr:rowOff>0</xdr:rowOff>
        </xdr:from>
        <xdr:to>
          <xdr:col>11</xdr:col>
          <xdr:colOff>0</xdr:colOff>
          <xdr:row>43</xdr:row>
          <xdr:rowOff>0</xdr:rowOff>
        </xdr:to>
        <xdr:sp macro="" textlink="">
          <xdr:nvSpPr>
            <xdr:cNvPr id="25625" name="Check Box 25" hidden="1">
              <a:extLst>
                <a:ext uri="{63B3BB69-23CF-44E3-9099-C40C66FF867C}">
                  <a14:compatExt spid="_x0000_s25625"/>
                </a:ext>
                <a:ext uri="{FF2B5EF4-FFF2-40B4-BE49-F238E27FC236}">
                  <a16:creationId xmlns:a16="http://schemas.microsoft.com/office/drawing/2014/main" id="{00000000-0008-0000-0300-00001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17</xdr:col>
      <xdr:colOff>0</xdr:colOff>
      <xdr:row>71</xdr:row>
      <xdr:rowOff>101157</xdr:rowOff>
    </xdr:from>
    <xdr:to>
      <xdr:col>17</xdr:col>
      <xdr:colOff>0</xdr:colOff>
      <xdr:row>72</xdr:row>
      <xdr:rowOff>102151</xdr:rowOff>
    </xdr:to>
    <xdr:grpSp>
      <xdr:nvGrpSpPr>
        <xdr:cNvPr id="32" name="Gruppieren 31">
          <a:extLst>
            <a:ext uri="{FF2B5EF4-FFF2-40B4-BE49-F238E27FC236}">
              <a16:creationId xmlns:a16="http://schemas.microsoft.com/office/drawing/2014/main" id="{00000000-0008-0000-0300-000020000000}"/>
            </a:ext>
          </a:extLst>
        </xdr:cNvPr>
        <xdr:cNvGrpSpPr/>
      </xdr:nvGrpSpPr>
      <xdr:grpSpPr>
        <a:xfrm>
          <a:off x="13220700" y="11712132"/>
          <a:ext cx="0" cy="220069"/>
          <a:chOff x="17981263" y="13161634"/>
          <a:chExt cx="368084" cy="308976"/>
        </a:xfrm>
      </xdr:grpSpPr>
      <xdr:sp macro="" textlink="">
        <xdr:nvSpPr>
          <xdr:cNvPr id="33" name="Gleichschenkliges Dreieck 32">
            <a:extLst>
              <a:ext uri="{FF2B5EF4-FFF2-40B4-BE49-F238E27FC236}">
                <a16:creationId xmlns:a16="http://schemas.microsoft.com/office/drawing/2014/main" id="{00000000-0008-0000-0300-000021000000}"/>
              </a:ext>
            </a:extLst>
          </xdr:cNvPr>
          <xdr:cNvSpPr/>
        </xdr:nvSpPr>
        <xdr:spPr>
          <a:xfrm>
            <a:off x="18039381" y="13318855"/>
            <a:ext cx="258305" cy="116237"/>
          </a:xfrm>
          <a:prstGeom prst="triangle">
            <a:avLst/>
          </a:prstGeom>
          <a:solidFill>
            <a:srgbClr val="DDDDDD"/>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sp macro="" textlink="">
        <xdr:nvSpPr>
          <xdr:cNvPr id="34" name="Ellipse 33">
            <a:extLst>
              <a:ext uri="{FF2B5EF4-FFF2-40B4-BE49-F238E27FC236}">
                <a16:creationId xmlns:a16="http://schemas.microsoft.com/office/drawing/2014/main" id="{00000000-0008-0000-0300-000022000000}"/>
              </a:ext>
            </a:extLst>
          </xdr:cNvPr>
          <xdr:cNvSpPr/>
        </xdr:nvSpPr>
        <xdr:spPr>
          <a:xfrm>
            <a:off x="18141250" y="13289312"/>
            <a:ext cx="57150" cy="57150"/>
          </a:xfrm>
          <a:prstGeom prst="ellipse">
            <a:avLst/>
          </a:prstGeom>
          <a:solidFill>
            <a:srgbClr val="DDDDDD"/>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cxnSp macro="">
        <xdr:nvCxnSpPr>
          <xdr:cNvPr id="35" name="Gerader Verbinder 34">
            <a:extLst>
              <a:ext uri="{FF2B5EF4-FFF2-40B4-BE49-F238E27FC236}">
                <a16:creationId xmlns:a16="http://schemas.microsoft.com/office/drawing/2014/main" id="{00000000-0008-0000-0300-000023000000}"/>
              </a:ext>
            </a:extLst>
          </xdr:cNvPr>
          <xdr:cNvCxnSpPr/>
        </xdr:nvCxnSpPr>
        <xdr:spPr>
          <a:xfrm>
            <a:off x="17981263" y="13470610"/>
            <a:ext cx="368084"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sp macro="" textlink="">
        <xdr:nvSpPr>
          <xdr:cNvPr id="36" name="Ellipse 35">
            <a:extLst>
              <a:ext uri="{FF2B5EF4-FFF2-40B4-BE49-F238E27FC236}">
                <a16:creationId xmlns:a16="http://schemas.microsoft.com/office/drawing/2014/main" id="{00000000-0008-0000-0300-000024000000}"/>
              </a:ext>
            </a:extLst>
          </xdr:cNvPr>
          <xdr:cNvSpPr/>
        </xdr:nvSpPr>
        <xdr:spPr>
          <a:xfrm>
            <a:off x="18141249" y="13161634"/>
            <a:ext cx="57150" cy="57150"/>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grpSp>
    <xdr:clientData/>
  </xdr:twoCellAnchor>
  <xdr:twoCellAnchor>
    <xdr:from>
      <xdr:col>17</xdr:col>
      <xdr:colOff>0</xdr:colOff>
      <xdr:row>72</xdr:row>
      <xdr:rowOff>46791</xdr:rowOff>
    </xdr:from>
    <xdr:to>
      <xdr:col>17</xdr:col>
      <xdr:colOff>0</xdr:colOff>
      <xdr:row>74</xdr:row>
      <xdr:rowOff>87514</xdr:rowOff>
    </xdr:to>
    <xdr:grpSp>
      <xdr:nvGrpSpPr>
        <xdr:cNvPr id="37" name="Gruppieren 36">
          <a:extLst>
            <a:ext uri="{FF2B5EF4-FFF2-40B4-BE49-F238E27FC236}">
              <a16:creationId xmlns:a16="http://schemas.microsoft.com/office/drawing/2014/main" id="{00000000-0008-0000-0300-000025000000}"/>
            </a:ext>
          </a:extLst>
        </xdr:cNvPr>
        <xdr:cNvGrpSpPr/>
      </xdr:nvGrpSpPr>
      <xdr:grpSpPr>
        <a:xfrm>
          <a:off x="13220700" y="11876841"/>
          <a:ext cx="0" cy="421723"/>
          <a:chOff x="17738525" y="12272010"/>
          <a:chExt cx="197568" cy="522573"/>
        </a:xfrm>
      </xdr:grpSpPr>
      <xdr:cxnSp macro="">
        <xdr:nvCxnSpPr>
          <xdr:cNvPr id="38" name="Gerader Verbinder 37">
            <a:extLst>
              <a:ext uri="{FF2B5EF4-FFF2-40B4-BE49-F238E27FC236}">
                <a16:creationId xmlns:a16="http://schemas.microsoft.com/office/drawing/2014/main" id="{00000000-0008-0000-0300-000026000000}"/>
              </a:ext>
            </a:extLst>
          </xdr:cNvPr>
          <xdr:cNvCxnSpPr/>
        </xdr:nvCxnSpPr>
        <xdr:spPr>
          <a:xfrm flipV="1">
            <a:off x="17738525" y="12440865"/>
            <a:ext cx="109122" cy="109119"/>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cxnSp macro="">
        <xdr:nvCxnSpPr>
          <xdr:cNvPr id="39" name="Gerader Verbinder 38">
            <a:extLst>
              <a:ext uri="{FF2B5EF4-FFF2-40B4-BE49-F238E27FC236}">
                <a16:creationId xmlns:a16="http://schemas.microsoft.com/office/drawing/2014/main" id="{00000000-0008-0000-0300-000027000000}"/>
              </a:ext>
            </a:extLst>
          </xdr:cNvPr>
          <xdr:cNvCxnSpPr/>
        </xdr:nvCxnSpPr>
        <xdr:spPr>
          <a:xfrm flipV="1">
            <a:off x="17849504" y="12302319"/>
            <a:ext cx="0" cy="412347"/>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0" name="Gerader Verbinder 39">
            <a:extLst>
              <a:ext uri="{FF2B5EF4-FFF2-40B4-BE49-F238E27FC236}">
                <a16:creationId xmlns:a16="http://schemas.microsoft.com/office/drawing/2014/main" id="{00000000-0008-0000-0300-000028000000}"/>
              </a:ext>
            </a:extLst>
          </xdr:cNvPr>
          <xdr:cNvCxnSpPr/>
        </xdr:nvCxnSpPr>
        <xdr:spPr>
          <a:xfrm flipV="1">
            <a:off x="17849502" y="12272010"/>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Gerader Verbinder 40">
            <a:extLst>
              <a:ext uri="{FF2B5EF4-FFF2-40B4-BE49-F238E27FC236}">
                <a16:creationId xmlns:a16="http://schemas.microsoft.com/office/drawing/2014/main" id="{00000000-0008-0000-0300-000029000000}"/>
              </a:ext>
            </a:extLst>
          </xdr:cNvPr>
          <xdr:cNvCxnSpPr/>
        </xdr:nvCxnSpPr>
        <xdr:spPr>
          <a:xfrm flipV="1">
            <a:off x="17849502" y="12354272"/>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2" name="Gerader Verbinder 41">
            <a:extLst>
              <a:ext uri="{FF2B5EF4-FFF2-40B4-BE49-F238E27FC236}">
                <a16:creationId xmlns:a16="http://schemas.microsoft.com/office/drawing/2014/main" id="{00000000-0008-0000-0300-00002A000000}"/>
              </a:ext>
            </a:extLst>
          </xdr:cNvPr>
          <xdr:cNvCxnSpPr/>
        </xdr:nvCxnSpPr>
        <xdr:spPr>
          <a:xfrm flipV="1">
            <a:off x="17849502" y="12440863"/>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3" name="Gerader Verbinder 42">
            <a:extLst>
              <a:ext uri="{FF2B5EF4-FFF2-40B4-BE49-F238E27FC236}">
                <a16:creationId xmlns:a16="http://schemas.microsoft.com/office/drawing/2014/main" id="{00000000-0008-0000-0300-00002B000000}"/>
              </a:ext>
            </a:extLst>
          </xdr:cNvPr>
          <xdr:cNvCxnSpPr/>
        </xdr:nvCxnSpPr>
        <xdr:spPr>
          <a:xfrm flipV="1">
            <a:off x="17849502" y="12523123"/>
            <a:ext cx="86591" cy="8763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4" name="Gerader Verbinder 43">
            <a:extLst>
              <a:ext uri="{FF2B5EF4-FFF2-40B4-BE49-F238E27FC236}">
                <a16:creationId xmlns:a16="http://schemas.microsoft.com/office/drawing/2014/main" id="{00000000-0008-0000-0300-00002C000000}"/>
              </a:ext>
            </a:extLst>
          </xdr:cNvPr>
          <xdr:cNvCxnSpPr/>
        </xdr:nvCxnSpPr>
        <xdr:spPr>
          <a:xfrm flipV="1">
            <a:off x="17849502" y="12602096"/>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5" name="Gerader Verbinder 44">
            <a:extLst>
              <a:ext uri="{FF2B5EF4-FFF2-40B4-BE49-F238E27FC236}">
                <a16:creationId xmlns:a16="http://schemas.microsoft.com/office/drawing/2014/main" id="{00000000-0008-0000-0300-00002D000000}"/>
              </a:ext>
            </a:extLst>
          </xdr:cNvPr>
          <xdr:cNvCxnSpPr/>
        </xdr:nvCxnSpPr>
        <xdr:spPr>
          <a:xfrm flipV="1">
            <a:off x="17849502" y="12707992"/>
            <a:ext cx="86591" cy="86591"/>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0</xdr:colOff>
      <xdr:row>72</xdr:row>
      <xdr:rowOff>71438</xdr:rowOff>
    </xdr:from>
    <xdr:to>
      <xdr:col>17</xdr:col>
      <xdr:colOff>0</xdr:colOff>
      <xdr:row>74</xdr:row>
      <xdr:rowOff>102135</xdr:rowOff>
    </xdr:to>
    <xdr:grpSp>
      <xdr:nvGrpSpPr>
        <xdr:cNvPr id="46" name="Gruppieren 45">
          <a:extLst>
            <a:ext uri="{FF2B5EF4-FFF2-40B4-BE49-F238E27FC236}">
              <a16:creationId xmlns:a16="http://schemas.microsoft.com/office/drawing/2014/main" id="{00000000-0008-0000-0300-00002E000000}"/>
            </a:ext>
          </a:extLst>
        </xdr:cNvPr>
        <xdr:cNvGrpSpPr/>
      </xdr:nvGrpSpPr>
      <xdr:grpSpPr>
        <a:xfrm flipH="1">
          <a:off x="13220700" y="11901488"/>
          <a:ext cx="0" cy="411697"/>
          <a:chOff x="17738525" y="12272010"/>
          <a:chExt cx="197568" cy="522573"/>
        </a:xfrm>
      </xdr:grpSpPr>
      <xdr:cxnSp macro="">
        <xdr:nvCxnSpPr>
          <xdr:cNvPr id="47" name="Gerader Verbinder 46">
            <a:extLst>
              <a:ext uri="{FF2B5EF4-FFF2-40B4-BE49-F238E27FC236}">
                <a16:creationId xmlns:a16="http://schemas.microsoft.com/office/drawing/2014/main" id="{00000000-0008-0000-0300-00002F000000}"/>
              </a:ext>
            </a:extLst>
          </xdr:cNvPr>
          <xdr:cNvCxnSpPr/>
        </xdr:nvCxnSpPr>
        <xdr:spPr>
          <a:xfrm flipV="1">
            <a:off x="17738525" y="12440865"/>
            <a:ext cx="109122" cy="109119"/>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cxnSp macro="">
        <xdr:nvCxnSpPr>
          <xdr:cNvPr id="48" name="Gerader Verbinder 47">
            <a:extLst>
              <a:ext uri="{FF2B5EF4-FFF2-40B4-BE49-F238E27FC236}">
                <a16:creationId xmlns:a16="http://schemas.microsoft.com/office/drawing/2014/main" id="{00000000-0008-0000-0300-000030000000}"/>
              </a:ext>
            </a:extLst>
          </xdr:cNvPr>
          <xdr:cNvCxnSpPr/>
        </xdr:nvCxnSpPr>
        <xdr:spPr>
          <a:xfrm flipV="1">
            <a:off x="17849504" y="12302319"/>
            <a:ext cx="0" cy="412347"/>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9" name="Gerader Verbinder 48">
            <a:extLst>
              <a:ext uri="{FF2B5EF4-FFF2-40B4-BE49-F238E27FC236}">
                <a16:creationId xmlns:a16="http://schemas.microsoft.com/office/drawing/2014/main" id="{00000000-0008-0000-0300-000031000000}"/>
              </a:ext>
            </a:extLst>
          </xdr:cNvPr>
          <xdr:cNvCxnSpPr/>
        </xdr:nvCxnSpPr>
        <xdr:spPr>
          <a:xfrm flipV="1">
            <a:off x="17849502" y="12272010"/>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0" name="Gerader Verbinder 49">
            <a:extLst>
              <a:ext uri="{FF2B5EF4-FFF2-40B4-BE49-F238E27FC236}">
                <a16:creationId xmlns:a16="http://schemas.microsoft.com/office/drawing/2014/main" id="{00000000-0008-0000-0300-000032000000}"/>
              </a:ext>
            </a:extLst>
          </xdr:cNvPr>
          <xdr:cNvCxnSpPr/>
        </xdr:nvCxnSpPr>
        <xdr:spPr>
          <a:xfrm flipV="1">
            <a:off x="17849502" y="12354272"/>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1" name="Gerader Verbinder 50">
            <a:extLst>
              <a:ext uri="{FF2B5EF4-FFF2-40B4-BE49-F238E27FC236}">
                <a16:creationId xmlns:a16="http://schemas.microsoft.com/office/drawing/2014/main" id="{00000000-0008-0000-0300-000033000000}"/>
              </a:ext>
            </a:extLst>
          </xdr:cNvPr>
          <xdr:cNvCxnSpPr/>
        </xdr:nvCxnSpPr>
        <xdr:spPr>
          <a:xfrm flipV="1">
            <a:off x="17849502" y="12440863"/>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2" name="Gerader Verbinder 51">
            <a:extLst>
              <a:ext uri="{FF2B5EF4-FFF2-40B4-BE49-F238E27FC236}">
                <a16:creationId xmlns:a16="http://schemas.microsoft.com/office/drawing/2014/main" id="{00000000-0008-0000-0300-000034000000}"/>
              </a:ext>
            </a:extLst>
          </xdr:cNvPr>
          <xdr:cNvCxnSpPr/>
        </xdr:nvCxnSpPr>
        <xdr:spPr>
          <a:xfrm flipV="1">
            <a:off x="17849502" y="12523123"/>
            <a:ext cx="86591" cy="8763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3" name="Gerader Verbinder 52">
            <a:extLst>
              <a:ext uri="{FF2B5EF4-FFF2-40B4-BE49-F238E27FC236}">
                <a16:creationId xmlns:a16="http://schemas.microsoft.com/office/drawing/2014/main" id="{00000000-0008-0000-0300-000035000000}"/>
              </a:ext>
            </a:extLst>
          </xdr:cNvPr>
          <xdr:cNvCxnSpPr/>
        </xdr:nvCxnSpPr>
        <xdr:spPr>
          <a:xfrm flipV="1">
            <a:off x="17849502" y="12602096"/>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4" name="Gerader Verbinder 53">
            <a:extLst>
              <a:ext uri="{FF2B5EF4-FFF2-40B4-BE49-F238E27FC236}">
                <a16:creationId xmlns:a16="http://schemas.microsoft.com/office/drawing/2014/main" id="{00000000-0008-0000-0300-000036000000}"/>
              </a:ext>
            </a:extLst>
          </xdr:cNvPr>
          <xdr:cNvCxnSpPr/>
        </xdr:nvCxnSpPr>
        <xdr:spPr>
          <a:xfrm flipV="1">
            <a:off x="17849502" y="12707992"/>
            <a:ext cx="86591" cy="86591"/>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10</xdr:col>
          <xdr:colOff>2847975</xdr:colOff>
          <xdr:row>40</xdr:row>
          <xdr:rowOff>171450</xdr:rowOff>
        </xdr:from>
        <xdr:to>
          <xdr:col>11</xdr:col>
          <xdr:colOff>0</xdr:colOff>
          <xdr:row>41</xdr:row>
          <xdr:rowOff>200025</xdr:rowOff>
        </xdr:to>
        <xdr:sp macro="" textlink="">
          <xdr:nvSpPr>
            <xdr:cNvPr id="25626" name="Check Box 26" hidden="1">
              <a:extLst>
                <a:ext uri="{63B3BB69-23CF-44E3-9099-C40C66FF867C}">
                  <a14:compatExt spid="_x0000_s25626"/>
                </a:ext>
                <a:ext uri="{FF2B5EF4-FFF2-40B4-BE49-F238E27FC236}">
                  <a16:creationId xmlns:a16="http://schemas.microsoft.com/office/drawing/2014/main" id="{00000000-0008-0000-0300-00001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128</xdr:row>
          <xdr:rowOff>0</xdr:rowOff>
        </xdr:from>
        <xdr:to>
          <xdr:col>11</xdr:col>
          <xdr:colOff>219075</xdr:colOff>
          <xdr:row>129</xdr:row>
          <xdr:rowOff>0</xdr:rowOff>
        </xdr:to>
        <xdr:sp macro="" textlink="">
          <xdr:nvSpPr>
            <xdr:cNvPr id="25627" name="Check Box 27" hidden="1">
              <a:extLst>
                <a:ext uri="{63B3BB69-23CF-44E3-9099-C40C66FF867C}">
                  <a14:compatExt spid="_x0000_s25627"/>
                </a:ext>
                <a:ext uri="{FF2B5EF4-FFF2-40B4-BE49-F238E27FC236}">
                  <a16:creationId xmlns:a16="http://schemas.microsoft.com/office/drawing/2014/main" id="{00000000-0008-0000-0300-00001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283036</xdr:colOff>
      <xdr:row>18</xdr:row>
      <xdr:rowOff>97972</xdr:rowOff>
    </xdr:from>
    <xdr:to>
      <xdr:col>15</xdr:col>
      <xdr:colOff>2083036</xdr:colOff>
      <xdr:row>19</xdr:row>
      <xdr:rowOff>524516</xdr:rowOff>
    </xdr:to>
    <xdr:pic>
      <xdr:nvPicPr>
        <xdr:cNvPr id="57" name="Grafik 56">
          <a:extLst>
            <a:ext uri="{FF2B5EF4-FFF2-40B4-BE49-F238E27FC236}">
              <a16:creationId xmlns:a16="http://schemas.microsoft.com/office/drawing/2014/main" id="{00000000-0008-0000-0300-000039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1074861" y="345622"/>
          <a:ext cx="1800000" cy="607519"/>
        </a:xfrm>
        <a:prstGeom prst="rect">
          <a:avLst/>
        </a:prstGeom>
      </xdr:spPr>
    </xdr:pic>
    <xdr:clientData fLocksWithSheet="0"/>
  </xdr:twoCellAnchor>
  <mc:AlternateContent xmlns:mc="http://schemas.openxmlformats.org/markup-compatibility/2006">
    <mc:Choice xmlns:a14="http://schemas.microsoft.com/office/drawing/2010/main" Requires="a14">
      <xdr:twoCellAnchor editAs="oneCell">
        <xdr:from>
          <xdr:col>13</xdr:col>
          <xdr:colOff>47625</xdr:colOff>
          <xdr:row>36</xdr:row>
          <xdr:rowOff>19050</xdr:rowOff>
        </xdr:from>
        <xdr:to>
          <xdr:col>13</xdr:col>
          <xdr:colOff>2286000</xdr:colOff>
          <xdr:row>37</xdr:row>
          <xdr:rowOff>0</xdr:rowOff>
        </xdr:to>
        <xdr:sp macro="" textlink="">
          <xdr:nvSpPr>
            <xdr:cNvPr id="25628" name="Drop Down 28" hidden="1">
              <a:extLst>
                <a:ext uri="{63B3BB69-23CF-44E3-9099-C40C66FF867C}">
                  <a14:compatExt spid="_x0000_s25628"/>
                </a:ext>
                <a:ext uri="{FF2B5EF4-FFF2-40B4-BE49-F238E27FC236}">
                  <a16:creationId xmlns:a16="http://schemas.microsoft.com/office/drawing/2014/main" id="{00000000-0008-0000-0300-00001C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31</xdr:row>
          <xdr:rowOff>19050</xdr:rowOff>
        </xdr:from>
        <xdr:to>
          <xdr:col>13</xdr:col>
          <xdr:colOff>2286000</xdr:colOff>
          <xdr:row>32</xdr:row>
          <xdr:rowOff>0</xdr:rowOff>
        </xdr:to>
        <xdr:sp macro="" textlink="">
          <xdr:nvSpPr>
            <xdr:cNvPr id="25629" name="Drop Down 29" hidden="1">
              <a:extLst>
                <a:ext uri="{63B3BB69-23CF-44E3-9099-C40C66FF867C}">
                  <a14:compatExt spid="_x0000_s25629"/>
                </a:ext>
                <a:ext uri="{FF2B5EF4-FFF2-40B4-BE49-F238E27FC236}">
                  <a16:creationId xmlns:a16="http://schemas.microsoft.com/office/drawing/2014/main" id="{00000000-0008-0000-0300-00001D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15</xdr:col>
      <xdr:colOff>9525</xdr:colOff>
      <xdr:row>28</xdr:row>
      <xdr:rowOff>38100</xdr:rowOff>
    </xdr:from>
    <xdr:to>
      <xdr:col>16</xdr:col>
      <xdr:colOff>39824</xdr:colOff>
      <xdr:row>33</xdr:row>
      <xdr:rowOff>151875</xdr:rowOff>
    </xdr:to>
    <xdr:graphicFrame macro="">
      <xdr:nvGraphicFramePr>
        <xdr:cNvPr id="60" name="Diagramm 59">
          <a:extLst>
            <a:ext uri="{FF2B5EF4-FFF2-40B4-BE49-F238E27FC236}">
              <a16:creationId xmlns:a16="http://schemas.microsoft.com/office/drawing/2014/main" id="{00000000-0008-0000-0300-00003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mc:AlternateContent xmlns:mc="http://schemas.openxmlformats.org/markup-compatibility/2006">
    <mc:Choice xmlns:a14="http://schemas.microsoft.com/office/drawing/2010/main" Requires="a14">
      <xdr:twoCellAnchor editAs="oneCell">
        <xdr:from>
          <xdr:col>14</xdr:col>
          <xdr:colOff>66675</xdr:colOff>
          <xdr:row>71</xdr:row>
          <xdr:rowOff>9525</xdr:rowOff>
        </xdr:from>
        <xdr:to>
          <xdr:col>14</xdr:col>
          <xdr:colOff>2305050</xdr:colOff>
          <xdr:row>71</xdr:row>
          <xdr:rowOff>171450</xdr:rowOff>
        </xdr:to>
        <xdr:sp macro="" textlink="">
          <xdr:nvSpPr>
            <xdr:cNvPr id="25630" name="Drop Down 30" hidden="1">
              <a:extLst>
                <a:ext uri="{63B3BB69-23CF-44E3-9099-C40C66FF867C}">
                  <a14:compatExt spid="_x0000_s25630"/>
                </a:ext>
                <a:ext uri="{FF2B5EF4-FFF2-40B4-BE49-F238E27FC236}">
                  <a16:creationId xmlns:a16="http://schemas.microsoft.com/office/drawing/2014/main" id="{00000000-0008-0000-0300-00001E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15</xdr:col>
      <xdr:colOff>0</xdr:colOff>
      <xdr:row>35</xdr:row>
      <xdr:rowOff>28575</xdr:rowOff>
    </xdr:from>
    <xdr:to>
      <xdr:col>16</xdr:col>
      <xdr:colOff>31724</xdr:colOff>
      <xdr:row>40</xdr:row>
      <xdr:rowOff>180450</xdr:rowOff>
    </xdr:to>
    <xdr:graphicFrame macro="">
      <xdr:nvGraphicFramePr>
        <xdr:cNvPr id="62" name="Diagramm 61">
          <a:extLst>
            <a:ext uri="{FF2B5EF4-FFF2-40B4-BE49-F238E27FC236}">
              <a16:creationId xmlns:a16="http://schemas.microsoft.com/office/drawing/2014/main" id="{00000000-0008-0000-0300-00003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mc:AlternateContent xmlns:mc="http://schemas.openxmlformats.org/markup-compatibility/2006">
    <mc:Choice xmlns:a14="http://schemas.microsoft.com/office/drawing/2010/main" Requires="a14">
      <xdr:twoCellAnchor editAs="oneCell">
        <xdr:from>
          <xdr:col>15</xdr:col>
          <xdr:colOff>47625</xdr:colOff>
          <xdr:row>69</xdr:row>
          <xdr:rowOff>9525</xdr:rowOff>
        </xdr:from>
        <xdr:to>
          <xdr:col>15</xdr:col>
          <xdr:colOff>2286000</xdr:colOff>
          <xdr:row>69</xdr:row>
          <xdr:rowOff>171450</xdr:rowOff>
        </xdr:to>
        <xdr:sp macro="" textlink="">
          <xdr:nvSpPr>
            <xdr:cNvPr id="25631" name="Drop Down 31" hidden="1">
              <a:extLst>
                <a:ext uri="{63B3BB69-23CF-44E3-9099-C40C66FF867C}">
                  <a14:compatExt spid="_x0000_s25631"/>
                </a:ext>
                <a:ext uri="{FF2B5EF4-FFF2-40B4-BE49-F238E27FC236}">
                  <a16:creationId xmlns:a16="http://schemas.microsoft.com/office/drawing/2014/main" id="{00000000-0008-0000-0300-00001F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39</xdr:row>
          <xdr:rowOff>19050</xdr:rowOff>
        </xdr:from>
        <xdr:to>
          <xdr:col>12</xdr:col>
          <xdr:colOff>2286000</xdr:colOff>
          <xdr:row>40</xdr:row>
          <xdr:rowOff>0</xdr:rowOff>
        </xdr:to>
        <xdr:sp macro="" textlink="">
          <xdr:nvSpPr>
            <xdr:cNvPr id="25632" name="Drop Down 32" hidden="1">
              <a:extLst>
                <a:ext uri="{63B3BB69-23CF-44E3-9099-C40C66FF867C}">
                  <a14:compatExt spid="_x0000_s25632"/>
                </a:ext>
                <a:ext uri="{FF2B5EF4-FFF2-40B4-BE49-F238E27FC236}">
                  <a16:creationId xmlns:a16="http://schemas.microsoft.com/office/drawing/2014/main" id="{00000000-0008-0000-0300-000020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39</xdr:row>
          <xdr:rowOff>19050</xdr:rowOff>
        </xdr:from>
        <xdr:to>
          <xdr:col>13</xdr:col>
          <xdr:colOff>2286000</xdr:colOff>
          <xdr:row>40</xdr:row>
          <xdr:rowOff>0</xdr:rowOff>
        </xdr:to>
        <xdr:sp macro="" textlink="">
          <xdr:nvSpPr>
            <xdr:cNvPr id="25633" name="Drop Down 33" hidden="1">
              <a:extLst>
                <a:ext uri="{63B3BB69-23CF-44E3-9099-C40C66FF867C}">
                  <a14:compatExt spid="_x0000_s25633"/>
                </a:ext>
                <a:ext uri="{FF2B5EF4-FFF2-40B4-BE49-F238E27FC236}">
                  <a16:creationId xmlns:a16="http://schemas.microsoft.com/office/drawing/2014/main" id="{00000000-0008-0000-0300-000021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37</xdr:row>
          <xdr:rowOff>19050</xdr:rowOff>
        </xdr:from>
        <xdr:to>
          <xdr:col>13</xdr:col>
          <xdr:colOff>2286000</xdr:colOff>
          <xdr:row>38</xdr:row>
          <xdr:rowOff>0</xdr:rowOff>
        </xdr:to>
        <xdr:sp macro="" textlink="">
          <xdr:nvSpPr>
            <xdr:cNvPr id="25634" name="Drop Down 34" hidden="1">
              <a:extLst>
                <a:ext uri="{63B3BB69-23CF-44E3-9099-C40C66FF867C}">
                  <a14:compatExt spid="_x0000_s25634"/>
                </a:ext>
                <a:ext uri="{FF2B5EF4-FFF2-40B4-BE49-F238E27FC236}">
                  <a16:creationId xmlns:a16="http://schemas.microsoft.com/office/drawing/2014/main" id="{00000000-0008-0000-0300-000022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29</xdr:row>
          <xdr:rowOff>38100</xdr:rowOff>
        </xdr:from>
        <xdr:to>
          <xdr:col>12</xdr:col>
          <xdr:colOff>2286000</xdr:colOff>
          <xdr:row>30</xdr:row>
          <xdr:rowOff>0</xdr:rowOff>
        </xdr:to>
        <xdr:sp macro="" textlink="">
          <xdr:nvSpPr>
            <xdr:cNvPr id="26625" name="Drop Down 1" hidden="1">
              <a:extLst>
                <a:ext uri="{63B3BB69-23CF-44E3-9099-C40C66FF867C}">
                  <a14:compatExt spid="_x0000_s26625"/>
                </a:ext>
                <a:ext uri="{FF2B5EF4-FFF2-40B4-BE49-F238E27FC236}">
                  <a16:creationId xmlns:a16="http://schemas.microsoft.com/office/drawing/2014/main" id="{00000000-0008-0000-0400-000001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29</xdr:row>
          <xdr:rowOff>38100</xdr:rowOff>
        </xdr:from>
        <xdr:to>
          <xdr:col>13</xdr:col>
          <xdr:colOff>2286000</xdr:colOff>
          <xdr:row>30</xdr:row>
          <xdr:rowOff>0</xdr:rowOff>
        </xdr:to>
        <xdr:sp macro="" textlink="">
          <xdr:nvSpPr>
            <xdr:cNvPr id="26626" name="Drop Down 2" hidden="1">
              <a:extLst>
                <a:ext uri="{63B3BB69-23CF-44E3-9099-C40C66FF867C}">
                  <a14:compatExt spid="_x0000_s26626"/>
                </a:ext>
                <a:ext uri="{FF2B5EF4-FFF2-40B4-BE49-F238E27FC236}">
                  <a16:creationId xmlns:a16="http://schemas.microsoft.com/office/drawing/2014/main" id="{00000000-0008-0000-0400-000002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29</xdr:row>
          <xdr:rowOff>38100</xdr:rowOff>
        </xdr:from>
        <xdr:to>
          <xdr:col>14</xdr:col>
          <xdr:colOff>2286000</xdr:colOff>
          <xdr:row>30</xdr:row>
          <xdr:rowOff>0</xdr:rowOff>
        </xdr:to>
        <xdr:sp macro="" textlink="">
          <xdr:nvSpPr>
            <xdr:cNvPr id="26627" name="Drop Down 3" hidden="1">
              <a:extLst>
                <a:ext uri="{63B3BB69-23CF-44E3-9099-C40C66FF867C}">
                  <a14:compatExt spid="_x0000_s26627"/>
                </a:ext>
                <a:ext uri="{FF2B5EF4-FFF2-40B4-BE49-F238E27FC236}">
                  <a16:creationId xmlns:a16="http://schemas.microsoft.com/office/drawing/2014/main" id="{00000000-0008-0000-0400-000003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38</xdr:row>
          <xdr:rowOff>19050</xdr:rowOff>
        </xdr:from>
        <xdr:to>
          <xdr:col>13</xdr:col>
          <xdr:colOff>2286000</xdr:colOff>
          <xdr:row>39</xdr:row>
          <xdr:rowOff>0</xdr:rowOff>
        </xdr:to>
        <xdr:sp macro="" textlink="">
          <xdr:nvSpPr>
            <xdr:cNvPr id="26628" name="Drop Down 4" hidden="1">
              <a:extLst>
                <a:ext uri="{63B3BB69-23CF-44E3-9099-C40C66FF867C}">
                  <a14:compatExt spid="_x0000_s26628"/>
                </a:ext>
                <a:ext uri="{FF2B5EF4-FFF2-40B4-BE49-F238E27FC236}">
                  <a16:creationId xmlns:a16="http://schemas.microsoft.com/office/drawing/2014/main" id="{00000000-0008-0000-0400-000004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38</xdr:row>
          <xdr:rowOff>19050</xdr:rowOff>
        </xdr:from>
        <xdr:to>
          <xdr:col>14</xdr:col>
          <xdr:colOff>2286000</xdr:colOff>
          <xdr:row>39</xdr:row>
          <xdr:rowOff>0</xdr:rowOff>
        </xdr:to>
        <xdr:sp macro="" textlink="">
          <xdr:nvSpPr>
            <xdr:cNvPr id="26629" name="Drop Down 5" hidden="1">
              <a:extLst>
                <a:ext uri="{63B3BB69-23CF-44E3-9099-C40C66FF867C}">
                  <a14:compatExt spid="_x0000_s26629"/>
                </a:ext>
                <a:ext uri="{FF2B5EF4-FFF2-40B4-BE49-F238E27FC236}">
                  <a16:creationId xmlns:a16="http://schemas.microsoft.com/office/drawing/2014/main" id="{00000000-0008-0000-0400-000005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48</xdr:row>
          <xdr:rowOff>19050</xdr:rowOff>
        </xdr:from>
        <xdr:to>
          <xdr:col>12</xdr:col>
          <xdr:colOff>2286000</xdr:colOff>
          <xdr:row>49</xdr:row>
          <xdr:rowOff>0</xdr:rowOff>
        </xdr:to>
        <xdr:sp macro="" textlink="">
          <xdr:nvSpPr>
            <xdr:cNvPr id="26630" name="Drop Down 6" hidden="1">
              <a:extLst>
                <a:ext uri="{63B3BB69-23CF-44E3-9099-C40C66FF867C}">
                  <a14:compatExt spid="_x0000_s26630"/>
                </a:ext>
                <a:ext uri="{FF2B5EF4-FFF2-40B4-BE49-F238E27FC236}">
                  <a16:creationId xmlns:a16="http://schemas.microsoft.com/office/drawing/2014/main" id="{00000000-0008-0000-0400-000006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49</xdr:row>
          <xdr:rowOff>19050</xdr:rowOff>
        </xdr:from>
        <xdr:to>
          <xdr:col>12</xdr:col>
          <xdr:colOff>2286000</xdr:colOff>
          <xdr:row>50</xdr:row>
          <xdr:rowOff>0</xdr:rowOff>
        </xdr:to>
        <xdr:sp macro="" textlink="">
          <xdr:nvSpPr>
            <xdr:cNvPr id="26631" name="Drop Down 7" hidden="1">
              <a:extLst>
                <a:ext uri="{63B3BB69-23CF-44E3-9099-C40C66FF867C}">
                  <a14:compatExt spid="_x0000_s26631"/>
                </a:ext>
                <a:ext uri="{FF2B5EF4-FFF2-40B4-BE49-F238E27FC236}">
                  <a16:creationId xmlns:a16="http://schemas.microsoft.com/office/drawing/2014/main" id="{00000000-0008-0000-0400-000007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54</xdr:row>
          <xdr:rowOff>9525</xdr:rowOff>
        </xdr:from>
        <xdr:to>
          <xdr:col>12</xdr:col>
          <xdr:colOff>2286000</xdr:colOff>
          <xdr:row>54</xdr:row>
          <xdr:rowOff>171450</xdr:rowOff>
        </xdr:to>
        <xdr:sp macro="" textlink="">
          <xdr:nvSpPr>
            <xdr:cNvPr id="26632" name="Drop Down 8" hidden="1">
              <a:extLst>
                <a:ext uri="{63B3BB69-23CF-44E3-9099-C40C66FF867C}">
                  <a14:compatExt spid="_x0000_s26632"/>
                </a:ext>
                <a:ext uri="{FF2B5EF4-FFF2-40B4-BE49-F238E27FC236}">
                  <a16:creationId xmlns:a16="http://schemas.microsoft.com/office/drawing/2014/main" id="{00000000-0008-0000-0400-000008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54</xdr:row>
          <xdr:rowOff>9525</xdr:rowOff>
        </xdr:from>
        <xdr:to>
          <xdr:col>13</xdr:col>
          <xdr:colOff>2286000</xdr:colOff>
          <xdr:row>54</xdr:row>
          <xdr:rowOff>171450</xdr:rowOff>
        </xdr:to>
        <xdr:sp macro="" textlink="">
          <xdr:nvSpPr>
            <xdr:cNvPr id="26633" name="Drop Down 9" hidden="1">
              <a:extLst>
                <a:ext uri="{63B3BB69-23CF-44E3-9099-C40C66FF867C}">
                  <a14:compatExt spid="_x0000_s26633"/>
                </a:ext>
                <a:ext uri="{FF2B5EF4-FFF2-40B4-BE49-F238E27FC236}">
                  <a16:creationId xmlns:a16="http://schemas.microsoft.com/office/drawing/2014/main" id="{00000000-0008-0000-0400-000009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54</xdr:row>
          <xdr:rowOff>9525</xdr:rowOff>
        </xdr:from>
        <xdr:to>
          <xdr:col>14</xdr:col>
          <xdr:colOff>2286000</xdr:colOff>
          <xdr:row>54</xdr:row>
          <xdr:rowOff>171450</xdr:rowOff>
        </xdr:to>
        <xdr:sp macro="" textlink="">
          <xdr:nvSpPr>
            <xdr:cNvPr id="26634" name="Drop Down 10" hidden="1">
              <a:extLst>
                <a:ext uri="{63B3BB69-23CF-44E3-9099-C40C66FF867C}">
                  <a14:compatExt spid="_x0000_s26634"/>
                </a:ext>
                <a:ext uri="{FF2B5EF4-FFF2-40B4-BE49-F238E27FC236}">
                  <a16:creationId xmlns:a16="http://schemas.microsoft.com/office/drawing/2014/main" id="{00000000-0008-0000-0400-00000A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54</xdr:row>
          <xdr:rowOff>9525</xdr:rowOff>
        </xdr:from>
        <xdr:to>
          <xdr:col>15</xdr:col>
          <xdr:colOff>2286000</xdr:colOff>
          <xdr:row>54</xdr:row>
          <xdr:rowOff>171450</xdr:rowOff>
        </xdr:to>
        <xdr:sp macro="" textlink="">
          <xdr:nvSpPr>
            <xdr:cNvPr id="26635" name="Drop Down 11" hidden="1">
              <a:extLst>
                <a:ext uri="{63B3BB69-23CF-44E3-9099-C40C66FF867C}">
                  <a14:compatExt spid="_x0000_s26635"/>
                </a:ext>
                <a:ext uri="{FF2B5EF4-FFF2-40B4-BE49-F238E27FC236}">
                  <a16:creationId xmlns:a16="http://schemas.microsoft.com/office/drawing/2014/main" id="{00000000-0008-0000-0400-00000B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48</xdr:row>
          <xdr:rowOff>19050</xdr:rowOff>
        </xdr:from>
        <xdr:to>
          <xdr:col>13</xdr:col>
          <xdr:colOff>2286000</xdr:colOff>
          <xdr:row>49</xdr:row>
          <xdr:rowOff>0</xdr:rowOff>
        </xdr:to>
        <xdr:sp macro="" textlink="">
          <xdr:nvSpPr>
            <xdr:cNvPr id="26636" name="Drop Down 12" hidden="1">
              <a:extLst>
                <a:ext uri="{63B3BB69-23CF-44E3-9099-C40C66FF867C}">
                  <a14:compatExt spid="_x0000_s26636"/>
                </a:ext>
                <a:ext uri="{FF2B5EF4-FFF2-40B4-BE49-F238E27FC236}">
                  <a16:creationId xmlns:a16="http://schemas.microsoft.com/office/drawing/2014/main" id="{00000000-0008-0000-0400-00000C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48</xdr:row>
          <xdr:rowOff>19050</xdr:rowOff>
        </xdr:from>
        <xdr:to>
          <xdr:col>14</xdr:col>
          <xdr:colOff>2286000</xdr:colOff>
          <xdr:row>49</xdr:row>
          <xdr:rowOff>0</xdr:rowOff>
        </xdr:to>
        <xdr:sp macro="" textlink="">
          <xdr:nvSpPr>
            <xdr:cNvPr id="26637" name="Drop Down 13" hidden="1">
              <a:extLst>
                <a:ext uri="{63B3BB69-23CF-44E3-9099-C40C66FF867C}">
                  <a14:compatExt spid="_x0000_s26637"/>
                </a:ext>
                <a:ext uri="{FF2B5EF4-FFF2-40B4-BE49-F238E27FC236}">
                  <a16:creationId xmlns:a16="http://schemas.microsoft.com/office/drawing/2014/main" id="{00000000-0008-0000-0400-00000D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48</xdr:row>
          <xdr:rowOff>19050</xdr:rowOff>
        </xdr:from>
        <xdr:to>
          <xdr:col>15</xdr:col>
          <xdr:colOff>2286000</xdr:colOff>
          <xdr:row>49</xdr:row>
          <xdr:rowOff>0</xdr:rowOff>
        </xdr:to>
        <xdr:sp macro="" textlink="">
          <xdr:nvSpPr>
            <xdr:cNvPr id="26638" name="Drop Down 14" hidden="1">
              <a:extLst>
                <a:ext uri="{63B3BB69-23CF-44E3-9099-C40C66FF867C}">
                  <a14:compatExt spid="_x0000_s26638"/>
                </a:ext>
                <a:ext uri="{FF2B5EF4-FFF2-40B4-BE49-F238E27FC236}">
                  <a16:creationId xmlns:a16="http://schemas.microsoft.com/office/drawing/2014/main" id="{00000000-0008-0000-0400-00000E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49</xdr:row>
          <xdr:rowOff>19050</xdr:rowOff>
        </xdr:from>
        <xdr:to>
          <xdr:col>13</xdr:col>
          <xdr:colOff>2286000</xdr:colOff>
          <xdr:row>50</xdr:row>
          <xdr:rowOff>0</xdr:rowOff>
        </xdr:to>
        <xdr:sp macro="" textlink="">
          <xdr:nvSpPr>
            <xdr:cNvPr id="26639" name="Drop Down 15" hidden="1">
              <a:extLst>
                <a:ext uri="{63B3BB69-23CF-44E3-9099-C40C66FF867C}">
                  <a14:compatExt spid="_x0000_s26639"/>
                </a:ext>
                <a:ext uri="{FF2B5EF4-FFF2-40B4-BE49-F238E27FC236}">
                  <a16:creationId xmlns:a16="http://schemas.microsoft.com/office/drawing/2014/main" id="{00000000-0008-0000-0400-00000F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49</xdr:row>
          <xdr:rowOff>19050</xdr:rowOff>
        </xdr:from>
        <xdr:to>
          <xdr:col>14</xdr:col>
          <xdr:colOff>2286000</xdr:colOff>
          <xdr:row>50</xdr:row>
          <xdr:rowOff>0</xdr:rowOff>
        </xdr:to>
        <xdr:sp macro="" textlink="">
          <xdr:nvSpPr>
            <xdr:cNvPr id="26640" name="Drop Down 16" hidden="1">
              <a:extLst>
                <a:ext uri="{63B3BB69-23CF-44E3-9099-C40C66FF867C}">
                  <a14:compatExt spid="_x0000_s26640"/>
                </a:ext>
                <a:ext uri="{FF2B5EF4-FFF2-40B4-BE49-F238E27FC236}">
                  <a16:creationId xmlns:a16="http://schemas.microsoft.com/office/drawing/2014/main" id="{00000000-0008-0000-0400-000010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49</xdr:row>
          <xdr:rowOff>19050</xdr:rowOff>
        </xdr:from>
        <xdr:to>
          <xdr:col>15</xdr:col>
          <xdr:colOff>2286000</xdr:colOff>
          <xdr:row>50</xdr:row>
          <xdr:rowOff>0</xdr:rowOff>
        </xdr:to>
        <xdr:sp macro="" textlink="">
          <xdr:nvSpPr>
            <xdr:cNvPr id="26641" name="Drop Down 17" hidden="1">
              <a:extLst>
                <a:ext uri="{63B3BB69-23CF-44E3-9099-C40C66FF867C}">
                  <a14:compatExt spid="_x0000_s26641"/>
                </a:ext>
                <a:ext uri="{FF2B5EF4-FFF2-40B4-BE49-F238E27FC236}">
                  <a16:creationId xmlns:a16="http://schemas.microsoft.com/office/drawing/2014/main" id="{00000000-0008-0000-0400-000011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30</xdr:row>
          <xdr:rowOff>38100</xdr:rowOff>
        </xdr:from>
        <xdr:to>
          <xdr:col>12</xdr:col>
          <xdr:colOff>2286000</xdr:colOff>
          <xdr:row>31</xdr:row>
          <xdr:rowOff>0</xdr:rowOff>
        </xdr:to>
        <xdr:sp macro="" textlink="">
          <xdr:nvSpPr>
            <xdr:cNvPr id="26642" name="Drop Down 18" hidden="1">
              <a:extLst>
                <a:ext uri="{63B3BB69-23CF-44E3-9099-C40C66FF867C}">
                  <a14:compatExt spid="_x0000_s26642"/>
                </a:ext>
                <a:ext uri="{FF2B5EF4-FFF2-40B4-BE49-F238E27FC236}">
                  <a16:creationId xmlns:a16="http://schemas.microsoft.com/office/drawing/2014/main" id="{00000000-0008-0000-0400-000012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28</xdr:row>
          <xdr:rowOff>38100</xdr:rowOff>
        </xdr:from>
        <xdr:to>
          <xdr:col>12</xdr:col>
          <xdr:colOff>2286000</xdr:colOff>
          <xdr:row>28</xdr:row>
          <xdr:rowOff>200025</xdr:rowOff>
        </xdr:to>
        <xdr:sp macro="" textlink="">
          <xdr:nvSpPr>
            <xdr:cNvPr id="26643" name="Drop Down 19" hidden="1">
              <a:extLst>
                <a:ext uri="{63B3BB69-23CF-44E3-9099-C40C66FF867C}">
                  <a14:compatExt spid="_x0000_s26643"/>
                </a:ext>
                <a:ext uri="{FF2B5EF4-FFF2-40B4-BE49-F238E27FC236}">
                  <a16:creationId xmlns:a16="http://schemas.microsoft.com/office/drawing/2014/main" id="{00000000-0008-0000-0400-000013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28</xdr:row>
          <xdr:rowOff>38100</xdr:rowOff>
        </xdr:from>
        <xdr:to>
          <xdr:col>13</xdr:col>
          <xdr:colOff>2286000</xdr:colOff>
          <xdr:row>28</xdr:row>
          <xdr:rowOff>200025</xdr:rowOff>
        </xdr:to>
        <xdr:sp macro="" textlink="">
          <xdr:nvSpPr>
            <xdr:cNvPr id="26644" name="Drop Down 20" hidden="1">
              <a:extLst>
                <a:ext uri="{63B3BB69-23CF-44E3-9099-C40C66FF867C}">
                  <a14:compatExt spid="_x0000_s26644"/>
                </a:ext>
                <a:ext uri="{FF2B5EF4-FFF2-40B4-BE49-F238E27FC236}">
                  <a16:creationId xmlns:a16="http://schemas.microsoft.com/office/drawing/2014/main" id="{00000000-0008-0000-0400-000014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14</xdr:col>
          <xdr:colOff>2286000</xdr:colOff>
          <xdr:row>28</xdr:row>
          <xdr:rowOff>200025</xdr:rowOff>
        </xdr:to>
        <xdr:sp macro="" textlink="">
          <xdr:nvSpPr>
            <xdr:cNvPr id="26645" name="Drop Down 21" hidden="1">
              <a:extLst>
                <a:ext uri="{63B3BB69-23CF-44E3-9099-C40C66FF867C}">
                  <a14:compatExt spid="_x0000_s26645"/>
                </a:ext>
                <a:ext uri="{FF2B5EF4-FFF2-40B4-BE49-F238E27FC236}">
                  <a16:creationId xmlns:a16="http://schemas.microsoft.com/office/drawing/2014/main" id="{00000000-0008-0000-0400-000015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10</xdr:col>
      <xdr:colOff>201146</xdr:colOff>
      <xdr:row>89</xdr:row>
      <xdr:rowOff>47625</xdr:rowOff>
    </xdr:from>
    <xdr:to>
      <xdr:col>13</xdr:col>
      <xdr:colOff>301346</xdr:colOff>
      <xdr:row>104</xdr:row>
      <xdr:rowOff>136800</xdr:rowOff>
    </xdr:to>
    <xdr:graphicFrame macro="">
      <xdr:nvGraphicFramePr>
        <xdr:cNvPr id="23" name="Diagramm 22">
          <a:extLst>
            <a:ext uri="{FF2B5EF4-FFF2-40B4-BE49-F238E27FC236}">
              <a16:creationId xmlns:a16="http://schemas.microsoft.com/office/drawing/2014/main" id="{00000000-0008-0000-04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1098736</xdr:colOff>
      <xdr:row>105</xdr:row>
      <xdr:rowOff>180974</xdr:rowOff>
    </xdr:from>
    <xdr:to>
      <xdr:col>14</xdr:col>
      <xdr:colOff>1418460</xdr:colOff>
      <xdr:row>121</xdr:row>
      <xdr:rowOff>165374</xdr:rowOff>
    </xdr:to>
    <xdr:graphicFrame macro="">
      <xdr:nvGraphicFramePr>
        <xdr:cNvPr id="24" name="Diagramm 23">
          <a:extLst>
            <a:ext uri="{FF2B5EF4-FFF2-40B4-BE49-F238E27FC236}">
              <a16:creationId xmlns:a16="http://schemas.microsoft.com/office/drawing/2014/main" id="{00000000-0008-0000-04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613520</xdr:colOff>
      <xdr:row>88</xdr:row>
      <xdr:rowOff>180975</xdr:rowOff>
    </xdr:from>
    <xdr:to>
      <xdr:col>15</xdr:col>
      <xdr:colOff>2011070</xdr:colOff>
      <xdr:row>105</xdr:row>
      <xdr:rowOff>40575</xdr:rowOff>
    </xdr:to>
    <xdr:graphicFrame macro="">
      <xdr:nvGraphicFramePr>
        <xdr:cNvPr id="25" name="Diagramm 24">
          <a:extLst>
            <a:ext uri="{FF2B5EF4-FFF2-40B4-BE49-F238E27FC236}">
              <a16:creationId xmlns:a16="http://schemas.microsoft.com/office/drawing/2014/main" id="{00000000-0008-0000-04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193862</xdr:colOff>
      <xdr:row>106</xdr:row>
      <xdr:rowOff>2239</xdr:rowOff>
    </xdr:from>
    <xdr:to>
      <xdr:col>13</xdr:col>
      <xdr:colOff>294062</xdr:colOff>
      <xdr:row>121</xdr:row>
      <xdr:rowOff>167614</xdr:rowOff>
    </xdr:to>
    <xdr:graphicFrame macro="">
      <xdr:nvGraphicFramePr>
        <xdr:cNvPr id="26" name="Diagramm 25">
          <a:extLst>
            <a:ext uri="{FF2B5EF4-FFF2-40B4-BE49-F238E27FC236}">
              <a16:creationId xmlns:a16="http://schemas.microsoft.com/office/drawing/2014/main" id="{00000000-0008-0000-04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editAs="oneCell">
        <xdr:from>
          <xdr:col>12</xdr:col>
          <xdr:colOff>57150</xdr:colOff>
          <xdr:row>69</xdr:row>
          <xdr:rowOff>0</xdr:rowOff>
        </xdr:from>
        <xdr:to>
          <xdr:col>13</xdr:col>
          <xdr:colOff>1438275</xdr:colOff>
          <xdr:row>70</xdr:row>
          <xdr:rowOff>9525</xdr:rowOff>
        </xdr:to>
        <xdr:sp macro="" textlink="">
          <xdr:nvSpPr>
            <xdr:cNvPr id="26646" name="Check Box 22" descr="N in Wandmitt und -fuß automatisch berechnen" hidden="1">
              <a:extLst>
                <a:ext uri="{63B3BB69-23CF-44E3-9099-C40C66FF867C}">
                  <a14:compatExt spid="_x0000_s26646"/>
                </a:ext>
                <a:ext uri="{FF2B5EF4-FFF2-40B4-BE49-F238E27FC236}">
                  <a16:creationId xmlns:a16="http://schemas.microsoft.com/office/drawing/2014/main" id="{00000000-0008-0000-0400-00001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 N in Wandmitte und -fuß automatisch berechnen</a:t>
              </a:r>
            </a:p>
          </xdr:txBody>
        </xdr:sp>
        <xdr:clientData/>
      </xdr:twoCellAnchor>
    </mc:Choice>
    <mc:Fallback/>
  </mc:AlternateContent>
  <xdr:twoCellAnchor editAs="oneCell">
    <xdr:from>
      <xdr:col>14</xdr:col>
      <xdr:colOff>1685924</xdr:colOff>
      <xdr:row>106</xdr:row>
      <xdr:rowOff>0</xdr:rowOff>
    </xdr:from>
    <xdr:to>
      <xdr:col>15</xdr:col>
      <xdr:colOff>2005650</xdr:colOff>
      <xdr:row>121</xdr:row>
      <xdr:rowOff>165375</xdr:rowOff>
    </xdr:to>
    <xdr:graphicFrame macro="">
      <xdr:nvGraphicFramePr>
        <xdr:cNvPr id="28" name="Diagramm 27">
          <a:extLst>
            <a:ext uri="{FF2B5EF4-FFF2-40B4-BE49-F238E27FC236}">
              <a16:creationId xmlns:a16="http://schemas.microsoft.com/office/drawing/2014/main" id="{00000000-0008-0000-04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editAs="oneCell">
        <xdr:from>
          <xdr:col>13</xdr:col>
          <xdr:colOff>47625</xdr:colOff>
          <xdr:row>40</xdr:row>
          <xdr:rowOff>19050</xdr:rowOff>
        </xdr:from>
        <xdr:to>
          <xdr:col>13</xdr:col>
          <xdr:colOff>2286000</xdr:colOff>
          <xdr:row>41</xdr:row>
          <xdr:rowOff>0</xdr:rowOff>
        </xdr:to>
        <xdr:sp macro="" textlink="">
          <xdr:nvSpPr>
            <xdr:cNvPr id="26647" name="Drop Down 23" hidden="1">
              <a:extLst>
                <a:ext uri="{63B3BB69-23CF-44E3-9099-C40C66FF867C}">
                  <a14:compatExt spid="_x0000_s26647"/>
                </a:ext>
                <a:ext uri="{FF2B5EF4-FFF2-40B4-BE49-F238E27FC236}">
                  <a16:creationId xmlns:a16="http://schemas.microsoft.com/office/drawing/2014/main" id="{00000000-0008-0000-0400-000017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2847975</xdr:colOff>
          <xdr:row>40</xdr:row>
          <xdr:rowOff>171450</xdr:rowOff>
        </xdr:from>
        <xdr:to>
          <xdr:col>11</xdr:col>
          <xdr:colOff>0</xdr:colOff>
          <xdr:row>41</xdr:row>
          <xdr:rowOff>190500</xdr:rowOff>
        </xdr:to>
        <xdr:sp macro="" textlink="">
          <xdr:nvSpPr>
            <xdr:cNvPr id="26648" name="Check Box 24" hidden="1">
              <a:extLst>
                <a:ext uri="{63B3BB69-23CF-44E3-9099-C40C66FF867C}">
                  <a14:compatExt spid="_x0000_s26648"/>
                </a:ext>
                <a:ext uri="{FF2B5EF4-FFF2-40B4-BE49-F238E27FC236}">
                  <a16:creationId xmlns:a16="http://schemas.microsoft.com/office/drawing/2014/main" id="{00000000-0008-0000-0400-00001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2847975</xdr:colOff>
          <xdr:row>42</xdr:row>
          <xdr:rowOff>0</xdr:rowOff>
        </xdr:from>
        <xdr:to>
          <xdr:col>11</xdr:col>
          <xdr:colOff>0</xdr:colOff>
          <xdr:row>43</xdr:row>
          <xdr:rowOff>0</xdr:rowOff>
        </xdr:to>
        <xdr:sp macro="" textlink="">
          <xdr:nvSpPr>
            <xdr:cNvPr id="26649" name="Check Box 25" hidden="1">
              <a:extLst>
                <a:ext uri="{63B3BB69-23CF-44E3-9099-C40C66FF867C}">
                  <a14:compatExt spid="_x0000_s26649"/>
                </a:ext>
                <a:ext uri="{FF2B5EF4-FFF2-40B4-BE49-F238E27FC236}">
                  <a16:creationId xmlns:a16="http://schemas.microsoft.com/office/drawing/2014/main" id="{00000000-0008-0000-0400-00001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17</xdr:col>
      <xdr:colOff>0</xdr:colOff>
      <xdr:row>71</xdr:row>
      <xdr:rowOff>101157</xdr:rowOff>
    </xdr:from>
    <xdr:to>
      <xdr:col>17</xdr:col>
      <xdr:colOff>0</xdr:colOff>
      <xdr:row>72</xdr:row>
      <xdr:rowOff>102151</xdr:rowOff>
    </xdr:to>
    <xdr:grpSp>
      <xdr:nvGrpSpPr>
        <xdr:cNvPr id="32" name="Gruppieren 31">
          <a:extLst>
            <a:ext uri="{FF2B5EF4-FFF2-40B4-BE49-F238E27FC236}">
              <a16:creationId xmlns:a16="http://schemas.microsoft.com/office/drawing/2014/main" id="{00000000-0008-0000-0400-000020000000}"/>
            </a:ext>
          </a:extLst>
        </xdr:cNvPr>
        <xdr:cNvGrpSpPr/>
      </xdr:nvGrpSpPr>
      <xdr:grpSpPr>
        <a:xfrm>
          <a:off x="13220700" y="11712132"/>
          <a:ext cx="0" cy="220069"/>
          <a:chOff x="17981263" y="13161634"/>
          <a:chExt cx="368084" cy="308976"/>
        </a:xfrm>
      </xdr:grpSpPr>
      <xdr:sp macro="" textlink="">
        <xdr:nvSpPr>
          <xdr:cNvPr id="33" name="Gleichschenkliges Dreieck 32">
            <a:extLst>
              <a:ext uri="{FF2B5EF4-FFF2-40B4-BE49-F238E27FC236}">
                <a16:creationId xmlns:a16="http://schemas.microsoft.com/office/drawing/2014/main" id="{00000000-0008-0000-0400-000021000000}"/>
              </a:ext>
            </a:extLst>
          </xdr:cNvPr>
          <xdr:cNvSpPr/>
        </xdr:nvSpPr>
        <xdr:spPr>
          <a:xfrm>
            <a:off x="18039381" y="13318855"/>
            <a:ext cx="258305" cy="116237"/>
          </a:xfrm>
          <a:prstGeom prst="triangle">
            <a:avLst/>
          </a:prstGeom>
          <a:solidFill>
            <a:srgbClr val="DDDDDD"/>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sp macro="" textlink="">
        <xdr:nvSpPr>
          <xdr:cNvPr id="34" name="Ellipse 33">
            <a:extLst>
              <a:ext uri="{FF2B5EF4-FFF2-40B4-BE49-F238E27FC236}">
                <a16:creationId xmlns:a16="http://schemas.microsoft.com/office/drawing/2014/main" id="{00000000-0008-0000-0400-000022000000}"/>
              </a:ext>
            </a:extLst>
          </xdr:cNvPr>
          <xdr:cNvSpPr/>
        </xdr:nvSpPr>
        <xdr:spPr>
          <a:xfrm>
            <a:off x="18141250" y="13289312"/>
            <a:ext cx="57150" cy="57150"/>
          </a:xfrm>
          <a:prstGeom prst="ellipse">
            <a:avLst/>
          </a:prstGeom>
          <a:solidFill>
            <a:srgbClr val="DDDDDD"/>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cxnSp macro="">
        <xdr:nvCxnSpPr>
          <xdr:cNvPr id="35" name="Gerader Verbinder 34">
            <a:extLst>
              <a:ext uri="{FF2B5EF4-FFF2-40B4-BE49-F238E27FC236}">
                <a16:creationId xmlns:a16="http://schemas.microsoft.com/office/drawing/2014/main" id="{00000000-0008-0000-0400-000023000000}"/>
              </a:ext>
            </a:extLst>
          </xdr:cNvPr>
          <xdr:cNvCxnSpPr/>
        </xdr:nvCxnSpPr>
        <xdr:spPr>
          <a:xfrm>
            <a:off x="17981263" y="13470610"/>
            <a:ext cx="368084"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sp macro="" textlink="">
        <xdr:nvSpPr>
          <xdr:cNvPr id="36" name="Ellipse 35">
            <a:extLst>
              <a:ext uri="{FF2B5EF4-FFF2-40B4-BE49-F238E27FC236}">
                <a16:creationId xmlns:a16="http://schemas.microsoft.com/office/drawing/2014/main" id="{00000000-0008-0000-0400-000024000000}"/>
              </a:ext>
            </a:extLst>
          </xdr:cNvPr>
          <xdr:cNvSpPr/>
        </xdr:nvSpPr>
        <xdr:spPr>
          <a:xfrm>
            <a:off x="18141249" y="13161634"/>
            <a:ext cx="57150" cy="57150"/>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grpSp>
    <xdr:clientData/>
  </xdr:twoCellAnchor>
  <xdr:twoCellAnchor>
    <xdr:from>
      <xdr:col>17</xdr:col>
      <xdr:colOff>0</xdr:colOff>
      <xdr:row>72</xdr:row>
      <xdr:rowOff>46791</xdr:rowOff>
    </xdr:from>
    <xdr:to>
      <xdr:col>17</xdr:col>
      <xdr:colOff>0</xdr:colOff>
      <xdr:row>74</xdr:row>
      <xdr:rowOff>87514</xdr:rowOff>
    </xdr:to>
    <xdr:grpSp>
      <xdr:nvGrpSpPr>
        <xdr:cNvPr id="37" name="Gruppieren 36">
          <a:extLst>
            <a:ext uri="{FF2B5EF4-FFF2-40B4-BE49-F238E27FC236}">
              <a16:creationId xmlns:a16="http://schemas.microsoft.com/office/drawing/2014/main" id="{00000000-0008-0000-0400-000025000000}"/>
            </a:ext>
          </a:extLst>
        </xdr:cNvPr>
        <xdr:cNvGrpSpPr/>
      </xdr:nvGrpSpPr>
      <xdr:grpSpPr>
        <a:xfrm>
          <a:off x="13220700" y="11876841"/>
          <a:ext cx="0" cy="421723"/>
          <a:chOff x="17738525" y="12272010"/>
          <a:chExt cx="197568" cy="522573"/>
        </a:xfrm>
      </xdr:grpSpPr>
      <xdr:cxnSp macro="">
        <xdr:nvCxnSpPr>
          <xdr:cNvPr id="38" name="Gerader Verbinder 37">
            <a:extLst>
              <a:ext uri="{FF2B5EF4-FFF2-40B4-BE49-F238E27FC236}">
                <a16:creationId xmlns:a16="http://schemas.microsoft.com/office/drawing/2014/main" id="{00000000-0008-0000-0400-000026000000}"/>
              </a:ext>
            </a:extLst>
          </xdr:cNvPr>
          <xdr:cNvCxnSpPr/>
        </xdr:nvCxnSpPr>
        <xdr:spPr>
          <a:xfrm flipV="1">
            <a:off x="17738525" y="12440865"/>
            <a:ext cx="109122" cy="109119"/>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cxnSp macro="">
        <xdr:nvCxnSpPr>
          <xdr:cNvPr id="39" name="Gerader Verbinder 38">
            <a:extLst>
              <a:ext uri="{FF2B5EF4-FFF2-40B4-BE49-F238E27FC236}">
                <a16:creationId xmlns:a16="http://schemas.microsoft.com/office/drawing/2014/main" id="{00000000-0008-0000-0400-000027000000}"/>
              </a:ext>
            </a:extLst>
          </xdr:cNvPr>
          <xdr:cNvCxnSpPr/>
        </xdr:nvCxnSpPr>
        <xdr:spPr>
          <a:xfrm flipV="1">
            <a:off x="17849504" y="12302319"/>
            <a:ext cx="0" cy="412347"/>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0" name="Gerader Verbinder 39">
            <a:extLst>
              <a:ext uri="{FF2B5EF4-FFF2-40B4-BE49-F238E27FC236}">
                <a16:creationId xmlns:a16="http://schemas.microsoft.com/office/drawing/2014/main" id="{00000000-0008-0000-0400-000028000000}"/>
              </a:ext>
            </a:extLst>
          </xdr:cNvPr>
          <xdr:cNvCxnSpPr/>
        </xdr:nvCxnSpPr>
        <xdr:spPr>
          <a:xfrm flipV="1">
            <a:off x="17849502" y="12272010"/>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Gerader Verbinder 40">
            <a:extLst>
              <a:ext uri="{FF2B5EF4-FFF2-40B4-BE49-F238E27FC236}">
                <a16:creationId xmlns:a16="http://schemas.microsoft.com/office/drawing/2014/main" id="{00000000-0008-0000-0400-000029000000}"/>
              </a:ext>
            </a:extLst>
          </xdr:cNvPr>
          <xdr:cNvCxnSpPr/>
        </xdr:nvCxnSpPr>
        <xdr:spPr>
          <a:xfrm flipV="1">
            <a:off x="17849502" y="12354272"/>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2" name="Gerader Verbinder 41">
            <a:extLst>
              <a:ext uri="{FF2B5EF4-FFF2-40B4-BE49-F238E27FC236}">
                <a16:creationId xmlns:a16="http://schemas.microsoft.com/office/drawing/2014/main" id="{00000000-0008-0000-0400-00002A000000}"/>
              </a:ext>
            </a:extLst>
          </xdr:cNvPr>
          <xdr:cNvCxnSpPr/>
        </xdr:nvCxnSpPr>
        <xdr:spPr>
          <a:xfrm flipV="1">
            <a:off x="17849502" y="12440863"/>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3" name="Gerader Verbinder 42">
            <a:extLst>
              <a:ext uri="{FF2B5EF4-FFF2-40B4-BE49-F238E27FC236}">
                <a16:creationId xmlns:a16="http://schemas.microsoft.com/office/drawing/2014/main" id="{00000000-0008-0000-0400-00002B000000}"/>
              </a:ext>
            </a:extLst>
          </xdr:cNvPr>
          <xdr:cNvCxnSpPr/>
        </xdr:nvCxnSpPr>
        <xdr:spPr>
          <a:xfrm flipV="1">
            <a:off x="17849502" y="12523123"/>
            <a:ext cx="86591" cy="8763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4" name="Gerader Verbinder 43">
            <a:extLst>
              <a:ext uri="{FF2B5EF4-FFF2-40B4-BE49-F238E27FC236}">
                <a16:creationId xmlns:a16="http://schemas.microsoft.com/office/drawing/2014/main" id="{00000000-0008-0000-0400-00002C000000}"/>
              </a:ext>
            </a:extLst>
          </xdr:cNvPr>
          <xdr:cNvCxnSpPr/>
        </xdr:nvCxnSpPr>
        <xdr:spPr>
          <a:xfrm flipV="1">
            <a:off x="17849502" y="12602096"/>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5" name="Gerader Verbinder 44">
            <a:extLst>
              <a:ext uri="{FF2B5EF4-FFF2-40B4-BE49-F238E27FC236}">
                <a16:creationId xmlns:a16="http://schemas.microsoft.com/office/drawing/2014/main" id="{00000000-0008-0000-0400-00002D000000}"/>
              </a:ext>
            </a:extLst>
          </xdr:cNvPr>
          <xdr:cNvCxnSpPr/>
        </xdr:nvCxnSpPr>
        <xdr:spPr>
          <a:xfrm flipV="1">
            <a:off x="17849502" y="12707992"/>
            <a:ext cx="86591" cy="86591"/>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0</xdr:colOff>
      <xdr:row>72</xdr:row>
      <xdr:rowOff>71438</xdr:rowOff>
    </xdr:from>
    <xdr:to>
      <xdr:col>17</xdr:col>
      <xdr:colOff>0</xdr:colOff>
      <xdr:row>74</xdr:row>
      <xdr:rowOff>102135</xdr:rowOff>
    </xdr:to>
    <xdr:grpSp>
      <xdr:nvGrpSpPr>
        <xdr:cNvPr id="46" name="Gruppieren 45">
          <a:extLst>
            <a:ext uri="{FF2B5EF4-FFF2-40B4-BE49-F238E27FC236}">
              <a16:creationId xmlns:a16="http://schemas.microsoft.com/office/drawing/2014/main" id="{00000000-0008-0000-0400-00002E000000}"/>
            </a:ext>
          </a:extLst>
        </xdr:cNvPr>
        <xdr:cNvGrpSpPr/>
      </xdr:nvGrpSpPr>
      <xdr:grpSpPr>
        <a:xfrm flipH="1">
          <a:off x="13220700" y="11901488"/>
          <a:ext cx="0" cy="411697"/>
          <a:chOff x="17738525" y="12272010"/>
          <a:chExt cx="197568" cy="522573"/>
        </a:xfrm>
      </xdr:grpSpPr>
      <xdr:cxnSp macro="">
        <xdr:nvCxnSpPr>
          <xdr:cNvPr id="47" name="Gerader Verbinder 46">
            <a:extLst>
              <a:ext uri="{FF2B5EF4-FFF2-40B4-BE49-F238E27FC236}">
                <a16:creationId xmlns:a16="http://schemas.microsoft.com/office/drawing/2014/main" id="{00000000-0008-0000-0400-00002F000000}"/>
              </a:ext>
            </a:extLst>
          </xdr:cNvPr>
          <xdr:cNvCxnSpPr/>
        </xdr:nvCxnSpPr>
        <xdr:spPr>
          <a:xfrm flipV="1">
            <a:off x="17738525" y="12440865"/>
            <a:ext cx="109122" cy="109119"/>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cxnSp macro="">
        <xdr:nvCxnSpPr>
          <xdr:cNvPr id="48" name="Gerader Verbinder 47">
            <a:extLst>
              <a:ext uri="{FF2B5EF4-FFF2-40B4-BE49-F238E27FC236}">
                <a16:creationId xmlns:a16="http://schemas.microsoft.com/office/drawing/2014/main" id="{00000000-0008-0000-0400-000030000000}"/>
              </a:ext>
            </a:extLst>
          </xdr:cNvPr>
          <xdr:cNvCxnSpPr/>
        </xdr:nvCxnSpPr>
        <xdr:spPr>
          <a:xfrm flipV="1">
            <a:off x="17849504" y="12302319"/>
            <a:ext cx="0" cy="412347"/>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9" name="Gerader Verbinder 48">
            <a:extLst>
              <a:ext uri="{FF2B5EF4-FFF2-40B4-BE49-F238E27FC236}">
                <a16:creationId xmlns:a16="http://schemas.microsoft.com/office/drawing/2014/main" id="{00000000-0008-0000-0400-000031000000}"/>
              </a:ext>
            </a:extLst>
          </xdr:cNvPr>
          <xdr:cNvCxnSpPr/>
        </xdr:nvCxnSpPr>
        <xdr:spPr>
          <a:xfrm flipV="1">
            <a:off x="17849502" y="12272010"/>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0" name="Gerader Verbinder 49">
            <a:extLst>
              <a:ext uri="{FF2B5EF4-FFF2-40B4-BE49-F238E27FC236}">
                <a16:creationId xmlns:a16="http://schemas.microsoft.com/office/drawing/2014/main" id="{00000000-0008-0000-0400-000032000000}"/>
              </a:ext>
            </a:extLst>
          </xdr:cNvPr>
          <xdr:cNvCxnSpPr/>
        </xdr:nvCxnSpPr>
        <xdr:spPr>
          <a:xfrm flipV="1">
            <a:off x="17849502" y="12354272"/>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1" name="Gerader Verbinder 50">
            <a:extLst>
              <a:ext uri="{FF2B5EF4-FFF2-40B4-BE49-F238E27FC236}">
                <a16:creationId xmlns:a16="http://schemas.microsoft.com/office/drawing/2014/main" id="{00000000-0008-0000-0400-000033000000}"/>
              </a:ext>
            </a:extLst>
          </xdr:cNvPr>
          <xdr:cNvCxnSpPr/>
        </xdr:nvCxnSpPr>
        <xdr:spPr>
          <a:xfrm flipV="1">
            <a:off x="17849502" y="12440863"/>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2" name="Gerader Verbinder 51">
            <a:extLst>
              <a:ext uri="{FF2B5EF4-FFF2-40B4-BE49-F238E27FC236}">
                <a16:creationId xmlns:a16="http://schemas.microsoft.com/office/drawing/2014/main" id="{00000000-0008-0000-0400-000034000000}"/>
              </a:ext>
            </a:extLst>
          </xdr:cNvPr>
          <xdr:cNvCxnSpPr/>
        </xdr:nvCxnSpPr>
        <xdr:spPr>
          <a:xfrm flipV="1">
            <a:off x="17849502" y="12523123"/>
            <a:ext cx="86591" cy="8763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3" name="Gerader Verbinder 52">
            <a:extLst>
              <a:ext uri="{FF2B5EF4-FFF2-40B4-BE49-F238E27FC236}">
                <a16:creationId xmlns:a16="http://schemas.microsoft.com/office/drawing/2014/main" id="{00000000-0008-0000-0400-000035000000}"/>
              </a:ext>
            </a:extLst>
          </xdr:cNvPr>
          <xdr:cNvCxnSpPr/>
        </xdr:nvCxnSpPr>
        <xdr:spPr>
          <a:xfrm flipV="1">
            <a:off x="17849502" y="12602096"/>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4" name="Gerader Verbinder 53">
            <a:extLst>
              <a:ext uri="{FF2B5EF4-FFF2-40B4-BE49-F238E27FC236}">
                <a16:creationId xmlns:a16="http://schemas.microsoft.com/office/drawing/2014/main" id="{00000000-0008-0000-0400-000036000000}"/>
              </a:ext>
            </a:extLst>
          </xdr:cNvPr>
          <xdr:cNvCxnSpPr/>
        </xdr:nvCxnSpPr>
        <xdr:spPr>
          <a:xfrm flipV="1">
            <a:off x="17849502" y="12707992"/>
            <a:ext cx="86591" cy="86591"/>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10</xdr:col>
          <xdr:colOff>2847975</xdr:colOff>
          <xdr:row>40</xdr:row>
          <xdr:rowOff>171450</xdr:rowOff>
        </xdr:from>
        <xdr:to>
          <xdr:col>11</xdr:col>
          <xdr:colOff>0</xdr:colOff>
          <xdr:row>41</xdr:row>
          <xdr:rowOff>200025</xdr:rowOff>
        </xdr:to>
        <xdr:sp macro="" textlink="">
          <xdr:nvSpPr>
            <xdr:cNvPr id="26650" name="Check Box 26" hidden="1">
              <a:extLst>
                <a:ext uri="{63B3BB69-23CF-44E3-9099-C40C66FF867C}">
                  <a14:compatExt spid="_x0000_s26650"/>
                </a:ext>
                <a:ext uri="{FF2B5EF4-FFF2-40B4-BE49-F238E27FC236}">
                  <a16:creationId xmlns:a16="http://schemas.microsoft.com/office/drawing/2014/main" id="{00000000-0008-0000-0400-00001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128</xdr:row>
          <xdr:rowOff>0</xdr:rowOff>
        </xdr:from>
        <xdr:to>
          <xdr:col>11</xdr:col>
          <xdr:colOff>219075</xdr:colOff>
          <xdr:row>129</xdr:row>
          <xdr:rowOff>0</xdr:rowOff>
        </xdr:to>
        <xdr:sp macro="" textlink="">
          <xdr:nvSpPr>
            <xdr:cNvPr id="26651" name="Check Box 27" hidden="1">
              <a:extLst>
                <a:ext uri="{63B3BB69-23CF-44E3-9099-C40C66FF867C}">
                  <a14:compatExt spid="_x0000_s26651"/>
                </a:ext>
                <a:ext uri="{FF2B5EF4-FFF2-40B4-BE49-F238E27FC236}">
                  <a16:creationId xmlns:a16="http://schemas.microsoft.com/office/drawing/2014/main" id="{00000000-0008-0000-0400-00001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283036</xdr:colOff>
      <xdr:row>18</xdr:row>
      <xdr:rowOff>97972</xdr:rowOff>
    </xdr:from>
    <xdr:to>
      <xdr:col>15</xdr:col>
      <xdr:colOff>2083036</xdr:colOff>
      <xdr:row>19</xdr:row>
      <xdr:rowOff>524516</xdr:rowOff>
    </xdr:to>
    <xdr:pic>
      <xdr:nvPicPr>
        <xdr:cNvPr id="57" name="Grafik 56">
          <a:extLst>
            <a:ext uri="{FF2B5EF4-FFF2-40B4-BE49-F238E27FC236}">
              <a16:creationId xmlns:a16="http://schemas.microsoft.com/office/drawing/2014/main" id="{00000000-0008-0000-0400-000039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1074861" y="345622"/>
          <a:ext cx="1800000" cy="607519"/>
        </a:xfrm>
        <a:prstGeom prst="rect">
          <a:avLst/>
        </a:prstGeom>
      </xdr:spPr>
    </xdr:pic>
    <xdr:clientData fLocksWithSheet="0"/>
  </xdr:twoCellAnchor>
  <mc:AlternateContent xmlns:mc="http://schemas.openxmlformats.org/markup-compatibility/2006">
    <mc:Choice xmlns:a14="http://schemas.microsoft.com/office/drawing/2010/main" Requires="a14">
      <xdr:twoCellAnchor editAs="oneCell">
        <xdr:from>
          <xdr:col>13</xdr:col>
          <xdr:colOff>47625</xdr:colOff>
          <xdr:row>36</xdr:row>
          <xdr:rowOff>19050</xdr:rowOff>
        </xdr:from>
        <xdr:to>
          <xdr:col>13</xdr:col>
          <xdr:colOff>2286000</xdr:colOff>
          <xdr:row>37</xdr:row>
          <xdr:rowOff>0</xdr:rowOff>
        </xdr:to>
        <xdr:sp macro="" textlink="">
          <xdr:nvSpPr>
            <xdr:cNvPr id="26652" name="Drop Down 28" hidden="1">
              <a:extLst>
                <a:ext uri="{63B3BB69-23CF-44E3-9099-C40C66FF867C}">
                  <a14:compatExt spid="_x0000_s26652"/>
                </a:ext>
                <a:ext uri="{FF2B5EF4-FFF2-40B4-BE49-F238E27FC236}">
                  <a16:creationId xmlns:a16="http://schemas.microsoft.com/office/drawing/2014/main" id="{00000000-0008-0000-0400-00001C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31</xdr:row>
          <xdr:rowOff>19050</xdr:rowOff>
        </xdr:from>
        <xdr:to>
          <xdr:col>13</xdr:col>
          <xdr:colOff>2286000</xdr:colOff>
          <xdr:row>32</xdr:row>
          <xdr:rowOff>0</xdr:rowOff>
        </xdr:to>
        <xdr:sp macro="" textlink="">
          <xdr:nvSpPr>
            <xdr:cNvPr id="26653" name="Drop Down 29" hidden="1">
              <a:extLst>
                <a:ext uri="{63B3BB69-23CF-44E3-9099-C40C66FF867C}">
                  <a14:compatExt spid="_x0000_s26653"/>
                </a:ext>
                <a:ext uri="{FF2B5EF4-FFF2-40B4-BE49-F238E27FC236}">
                  <a16:creationId xmlns:a16="http://schemas.microsoft.com/office/drawing/2014/main" id="{00000000-0008-0000-0400-00001D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15</xdr:col>
      <xdr:colOff>9525</xdr:colOff>
      <xdr:row>28</xdr:row>
      <xdr:rowOff>38100</xdr:rowOff>
    </xdr:from>
    <xdr:to>
      <xdr:col>16</xdr:col>
      <xdr:colOff>39824</xdr:colOff>
      <xdr:row>33</xdr:row>
      <xdr:rowOff>151875</xdr:rowOff>
    </xdr:to>
    <xdr:graphicFrame macro="">
      <xdr:nvGraphicFramePr>
        <xdr:cNvPr id="60" name="Diagramm 59">
          <a:extLst>
            <a:ext uri="{FF2B5EF4-FFF2-40B4-BE49-F238E27FC236}">
              <a16:creationId xmlns:a16="http://schemas.microsoft.com/office/drawing/2014/main" id="{00000000-0008-0000-0400-00003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mc:AlternateContent xmlns:mc="http://schemas.openxmlformats.org/markup-compatibility/2006">
    <mc:Choice xmlns:a14="http://schemas.microsoft.com/office/drawing/2010/main" Requires="a14">
      <xdr:twoCellAnchor editAs="oneCell">
        <xdr:from>
          <xdr:col>14</xdr:col>
          <xdr:colOff>66675</xdr:colOff>
          <xdr:row>71</xdr:row>
          <xdr:rowOff>9525</xdr:rowOff>
        </xdr:from>
        <xdr:to>
          <xdr:col>14</xdr:col>
          <xdr:colOff>2305050</xdr:colOff>
          <xdr:row>71</xdr:row>
          <xdr:rowOff>171450</xdr:rowOff>
        </xdr:to>
        <xdr:sp macro="" textlink="">
          <xdr:nvSpPr>
            <xdr:cNvPr id="26654" name="Drop Down 30" hidden="1">
              <a:extLst>
                <a:ext uri="{63B3BB69-23CF-44E3-9099-C40C66FF867C}">
                  <a14:compatExt spid="_x0000_s26654"/>
                </a:ext>
                <a:ext uri="{FF2B5EF4-FFF2-40B4-BE49-F238E27FC236}">
                  <a16:creationId xmlns:a16="http://schemas.microsoft.com/office/drawing/2014/main" id="{00000000-0008-0000-0400-00001E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15</xdr:col>
      <xdr:colOff>0</xdr:colOff>
      <xdr:row>35</xdr:row>
      <xdr:rowOff>28575</xdr:rowOff>
    </xdr:from>
    <xdr:to>
      <xdr:col>16</xdr:col>
      <xdr:colOff>31724</xdr:colOff>
      <xdr:row>40</xdr:row>
      <xdr:rowOff>180450</xdr:rowOff>
    </xdr:to>
    <xdr:graphicFrame macro="">
      <xdr:nvGraphicFramePr>
        <xdr:cNvPr id="62" name="Diagramm 61">
          <a:extLst>
            <a:ext uri="{FF2B5EF4-FFF2-40B4-BE49-F238E27FC236}">
              <a16:creationId xmlns:a16="http://schemas.microsoft.com/office/drawing/2014/main" id="{00000000-0008-0000-0400-00003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mc:AlternateContent xmlns:mc="http://schemas.openxmlformats.org/markup-compatibility/2006">
    <mc:Choice xmlns:a14="http://schemas.microsoft.com/office/drawing/2010/main" Requires="a14">
      <xdr:twoCellAnchor editAs="oneCell">
        <xdr:from>
          <xdr:col>15</xdr:col>
          <xdr:colOff>47625</xdr:colOff>
          <xdr:row>69</xdr:row>
          <xdr:rowOff>9525</xdr:rowOff>
        </xdr:from>
        <xdr:to>
          <xdr:col>15</xdr:col>
          <xdr:colOff>2286000</xdr:colOff>
          <xdr:row>69</xdr:row>
          <xdr:rowOff>171450</xdr:rowOff>
        </xdr:to>
        <xdr:sp macro="" textlink="">
          <xdr:nvSpPr>
            <xdr:cNvPr id="26655" name="Drop Down 31" hidden="1">
              <a:extLst>
                <a:ext uri="{63B3BB69-23CF-44E3-9099-C40C66FF867C}">
                  <a14:compatExt spid="_x0000_s26655"/>
                </a:ext>
                <a:ext uri="{FF2B5EF4-FFF2-40B4-BE49-F238E27FC236}">
                  <a16:creationId xmlns:a16="http://schemas.microsoft.com/office/drawing/2014/main" id="{00000000-0008-0000-0400-00001F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39</xdr:row>
          <xdr:rowOff>19050</xdr:rowOff>
        </xdr:from>
        <xdr:to>
          <xdr:col>12</xdr:col>
          <xdr:colOff>2286000</xdr:colOff>
          <xdr:row>40</xdr:row>
          <xdr:rowOff>0</xdr:rowOff>
        </xdr:to>
        <xdr:sp macro="" textlink="">
          <xdr:nvSpPr>
            <xdr:cNvPr id="26656" name="Drop Down 32" hidden="1">
              <a:extLst>
                <a:ext uri="{63B3BB69-23CF-44E3-9099-C40C66FF867C}">
                  <a14:compatExt spid="_x0000_s26656"/>
                </a:ext>
                <a:ext uri="{FF2B5EF4-FFF2-40B4-BE49-F238E27FC236}">
                  <a16:creationId xmlns:a16="http://schemas.microsoft.com/office/drawing/2014/main" id="{00000000-0008-0000-0400-000020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39</xdr:row>
          <xdr:rowOff>19050</xdr:rowOff>
        </xdr:from>
        <xdr:to>
          <xdr:col>13</xdr:col>
          <xdr:colOff>2286000</xdr:colOff>
          <xdr:row>40</xdr:row>
          <xdr:rowOff>0</xdr:rowOff>
        </xdr:to>
        <xdr:sp macro="" textlink="">
          <xdr:nvSpPr>
            <xdr:cNvPr id="26657" name="Drop Down 33" hidden="1">
              <a:extLst>
                <a:ext uri="{63B3BB69-23CF-44E3-9099-C40C66FF867C}">
                  <a14:compatExt spid="_x0000_s26657"/>
                </a:ext>
                <a:ext uri="{FF2B5EF4-FFF2-40B4-BE49-F238E27FC236}">
                  <a16:creationId xmlns:a16="http://schemas.microsoft.com/office/drawing/2014/main" id="{00000000-0008-0000-0400-000021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37</xdr:row>
          <xdr:rowOff>19050</xdr:rowOff>
        </xdr:from>
        <xdr:to>
          <xdr:col>13</xdr:col>
          <xdr:colOff>2286000</xdr:colOff>
          <xdr:row>38</xdr:row>
          <xdr:rowOff>0</xdr:rowOff>
        </xdr:to>
        <xdr:sp macro="" textlink="">
          <xdr:nvSpPr>
            <xdr:cNvPr id="26658" name="Drop Down 34" hidden="1">
              <a:extLst>
                <a:ext uri="{63B3BB69-23CF-44E3-9099-C40C66FF867C}">
                  <a14:compatExt spid="_x0000_s26658"/>
                </a:ext>
                <a:ext uri="{FF2B5EF4-FFF2-40B4-BE49-F238E27FC236}">
                  <a16:creationId xmlns:a16="http://schemas.microsoft.com/office/drawing/2014/main" id="{00000000-0008-0000-0400-000022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29</xdr:row>
          <xdr:rowOff>38100</xdr:rowOff>
        </xdr:from>
        <xdr:to>
          <xdr:col>12</xdr:col>
          <xdr:colOff>2286000</xdr:colOff>
          <xdr:row>30</xdr:row>
          <xdr:rowOff>0</xdr:rowOff>
        </xdr:to>
        <xdr:sp macro="" textlink="">
          <xdr:nvSpPr>
            <xdr:cNvPr id="27649" name="Drop Down 1" hidden="1">
              <a:extLst>
                <a:ext uri="{63B3BB69-23CF-44E3-9099-C40C66FF867C}">
                  <a14:compatExt spid="_x0000_s27649"/>
                </a:ext>
                <a:ext uri="{FF2B5EF4-FFF2-40B4-BE49-F238E27FC236}">
                  <a16:creationId xmlns:a16="http://schemas.microsoft.com/office/drawing/2014/main" id="{00000000-0008-0000-0500-000001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29</xdr:row>
          <xdr:rowOff>38100</xdr:rowOff>
        </xdr:from>
        <xdr:to>
          <xdr:col>13</xdr:col>
          <xdr:colOff>2286000</xdr:colOff>
          <xdr:row>30</xdr:row>
          <xdr:rowOff>0</xdr:rowOff>
        </xdr:to>
        <xdr:sp macro="" textlink="">
          <xdr:nvSpPr>
            <xdr:cNvPr id="27650" name="Drop Down 2" hidden="1">
              <a:extLst>
                <a:ext uri="{63B3BB69-23CF-44E3-9099-C40C66FF867C}">
                  <a14:compatExt spid="_x0000_s27650"/>
                </a:ext>
                <a:ext uri="{FF2B5EF4-FFF2-40B4-BE49-F238E27FC236}">
                  <a16:creationId xmlns:a16="http://schemas.microsoft.com/office/drawing/2014/main" id="{00000000-0008-0000-0500-000002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29</xdr:row>
          <xdr:rowOff>38100</xdr:rowOff>
        </xdr:from>
        <xdr:to>
          <xdr:col>14</xdr:col>
          <xdr:colOff>2286000</xdr:colOff>
          <xdr:row>30</xdr:row>
          <xdr:rowOff>0</xdr:rowOff>
        </xdr:to>
        <xdr:sp macro="" textlink="">
          <xdr:nvSpPr>
            <xdr:cNvPr id="27651" name="Drop Down 3" hidden="1">
              <a:extLst>
                <a:ext uri="{63B3BB69-23CF-44E3-9099-C40C66FF867C}">
                  <a14:compatExt spid="_x0000_s27651"/>
                </a:ext>
                <a:ext uri="{FF2B5EF4-FFF2-40B4-BE49-F238E27FC236}">
                  <a16:creationId xmlns:a16="http://schemas.microsoft.com/office/drawing/2014/main" id="{00000000-0008-0000-0500-000003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38</xdr:row>
          <xdr:rowOff>19050</xdr:rowOff>
        </xdr:from>
        <xdr:to>
          <xdr:col>13</xdr:col>
          <xdr:colOff>2286000</xdr:colOff>
          <xdr:row>39</xdr:row>
          <xdr:rowOff>0</xdr:rowOff>
        </xdr:to>
        <xdr:sp macro="" textlink="">
          <xdr:nvSpPr>
            <xdr:cNvPr id="27652" name="Drop Down 4" hidden="1">
              <a:extLst>
                <a:ext uri="{63B3BB69-23CF-44E3-9099-C40C66FF867C}">
                  <a14:compatExt spid="_x0000_s27652"/>
                </a:ext>
                <a:ext uri="{FF2B5EF4-FFF2-40B4-BE49-F238E27FC236}">
                  <a16:creationId xmlns:a16="http://schemas.microsoft.com/office/drawing/2014/main" id="{00000000-0008-0000-0500-000004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38</xdr:row>
          <xdr:rowOff>19050</xdr:rowOff>
        </xdr:from>
        <xdr:to>
          <xdr:col>14</xdr:col>
          <xdr:colOff>2286000</xdr:colOff>
          <xdr:row>39</xdr:row>
          <xdr:rowOff>0</xdr:rowOff>
        </xdr:to>
        <xdr:sp macro="" textlink="">
          <xdr:nvSpPr>
            <xdr:cNvPr id="27653" name="Drop Down 5" hidden="1">
              <a:extLst>
                <a:ext uri="{63B3BB69-23CF-44E3-9099-C40C66FF867C}">
                  <a14:compatExt spid="_x0000_s27653"/>
                </a:ext>
                <a:ext uri="{FF2B5EF4-FFF2-40B4-BE49-F238E27FC236}">
                  <a16:creationId xmlns:a16="http://schemas.microsoft.com/office/drawing/2014/main" id="{00000000-0008-0000-0500-000005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48</xdr:row>
          <xdr:rowOff>19050</xdr:rowOff>
        </xdr:from>
        <xdr:to>
          <xdr:col>12</xdr:col>
          <xdr:colOff>2286000</xdr:colOff>
          <xdr:row>49</xdr:row>
          <xdr:rowOff>0</xdr:rowOff>
        </xdr:to>
        <xdr:sp macro="" textlink="">
          <xdr:nvSpPr>
            <xdr:cNvPr id="27654" name="Drop Down 6" hidden="1">
              <a:extLst>
                <a:ext uri="{63B3BB69-23CF-44E3-9099-C40C66FF867C}">
                  <a14:compatExt spid="_x0000_s27654"/>
                </a:ext>
                <a:ext uri="{FF2B5EF4-FFF2-40B4-BE49-F238E27FC236}">
                  <a16:creationId xmlns:a16="http://schemas.microsoft.com/office/drawing/2014/main" id="{00000000-0008-0000-0500-000006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49</xdr:row>
          <xdr:rowOff>19050</xdr:rowOff>
        </xdr:from>
        <xdr:to>
          <xdr:col>12</xdr:col>
          <xdr:colOff>2286000</xdr:colOff>
          <xdr:row>50</xdr:row>
          <xdr:rowOff>0</xdr:rowOff>
        </xdr:to>
        <xdr:sp macro="" textlink="">
          <xdr:nvSpPr>
            <xdr:cNvPr id="27655" name="Drop Down 7" hidden="1">
              <a:extLst>
                <a:ext uri="{63B3BB69-23CF-44E3-9099-C40C66FF867C}">
                  <a14:compatExt spid="_x0000_s27655"/>
                </a:ext>
                <a:ext uri="{FF2B5EF4-FFF2-40B4-BE49-F238E27FC236}">
                  <a16:creationId xmlns:a16="http://schemas.microsoft.com/office/drawing/2014/main" id="{00000000-0008-0000-0500-000007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54</xdr:row>
          <xdr:rowOff>9525</xdr:rowOff>
        </xdr:from>
        <xdr:to>
          <xdr:col>12</xdr:col>
          <xdr:colOff>2286000</xdr:colOff>
          <xdr:row>54</xdr:row>
          <xdr:rowOff>171450</xdr:rowOff>
        </xdr:to>
        <xdr:sp macro="" textlink="">
          <xdr:nvSpPr>
            <xdr:cNvPr id="27656" name="Drop Down 8" hidden="1">
              <a:extLst>
                <a:ext uri="{63B3BB69-23CF-44E3-9099-C40C66FF867C}">
                  <a14:compatExt spid="_x0000_s27656"/>
                </a:ext>
                <a:ext uri="{FF2B5EF4-FFF2-40B4-BE49-F238E27FC236}">
                  <a16:creationId xmlns:a16="http://schemas.microsoft.com/office/drawing/2014/main" id="{00000000-0008-0000-0500-000008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54</xdr:row>
          <xdr:rowOff>9525</xdr:rowOff>
        </xdr:from>
        <xdr:to>
          <xdr:col>13</xdr:col>
          <xdr:colOff>2286000</xdr:colOff>
          <xdr:row>54</xdr:row>
          <xdr:rowOff>171450</xdr:rowOff>
        </xdr:to>
        <xdr:sp macro="" textlink="">
          <xdr:nvSpPr>
            <xdr:cNvPr id="27657" name="Drop Down 9" hidden="1">
              <a:extLst>
                <a:ext uri="{63B3BB69-23CF-44E3-9099-C40C66FF867C}">
                  <a14:compatExt spid="_x0000_s27657"/>
                </a:ext>
                <a:ext uri="{FF2B5EF4-FFF2-40B4-BE49-F238E27FC236}">
                  <a16:creationId xmlns:a16="http://schemas.microsoft.com/office/drawing/2014/main" id="{00000000-0008-0000-0500-000009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54</xdr:row>
          <xdr:rowOff>9525</xdr:rowOff>
        </xdr:from>
        <xdr:to>
          <xdr:col>14</xdr:col>
          <xdr:colOff>2286000</xdr:colOff>
          <xdr:row>54</xdr:row>
          <xdr:rowOff>171450</xdr:rowOff>
        </xdr:to>
        <xdr:sp macro="" textlink="">
          <xdr:nvSpPr>
            <xdr:cNvPr id="27658" name="Drop Down 10" hidden="1">
              <a:extLst>
                <a:ext uri="{63B3BB69-23CF-44E3-9099-C40C66FF867C}">
                  <a14:compatExt spid="_x0000_s27658"/>
                </a:ext>
                <a:ext uri="{FF2B5EF4-FFF2-40B4-BE49-F238E27FC236}">
                  <a16:creationId xmlns:a16="http://schemas.microsoft.com/office/drawing/2014/main" id="{00000000-0008-0000-0500-00000A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54</xdr:row>
          <xdr:rowOff>9525</xdr:rowOff>
        </xdr:from>
        <xdr:to>
          <xdr:col>15</xdr:col>
          <xdr:colOff>2286000</xdr:colOff>
          <xdr:row>54</xdr:row>
          <xdr:rowOff>171450</xdr:rowOff>
        </xdr:to>
        <xdr:sp macro="" textlink="">
          <xdr:nvSpPr>
            <xdr:cNvPr id="27659" name="Drop Down 11" hidden="1">
              <a:extLst>
                <a:ext uri="{63B3BB69-23CF-44E3-9099-C40C66FF867C}">
                  <a14:compatExt spid="_x0000_s27659"/>
                </a:ext>
                <a:ext uri="{FF2B5EF4-FFF2-40B4-BE49-F238E27FC236}">
                  <a16:creationId xmlns:a16="http://schemas.microsoft.com/office/drawing/2014/main" id="{00000000-0008-0000-0500-00000B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48</xdr:row>
          <xdr:rowOff>19050</xdr:rowOff>
        </xdr:from>
        <xdr:to>
          <xdr:col>13</xdr:col>
          <xdr:colOff>2286000</xdr:colOff>
          <xdr:row>49</xdr:row>
          <xdr:rowOff>0</xdr:rowOff>
        </xdr:to>
        <xdr:sp macro="" textlink="">
          <xdr:nvSpPr>
            <xdr:cNvPr id="27660" name="Drop Down 12" hidden="1">
              <a:extLst>
                <a:ext uri="{63B3BB69-23CF-44E3-9099-C40C66FF867C}">
                  <a14:compatExt spid="_x0000_s27660"/>
                </a:ext>
                <a:ext uri="{FF2B5EF4-FFF2-40B4-BE49-F238E27FC236}">
                  <a16:creationId xmlns:a16="http://schemas.microsoft.com/office/drawing/2014/main" id="{00000000-0008-0000-0500-00000C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48</xdr:row>
          <xdr:rowOff>19050</xdr:rowOff>
        </xdr:from>
        <xdr:to>
          <xdr:col>14</xdr:col>
          <xdr:colOff>2286000</xdr:colOff>
          <xdr:row>49</xdr:row>
          <xdr:rowOff>0</xdr:rowOff>
        </xdr:to>
        <xdr:sp macro="" textlink="">
          <xdr:nvSpPr>
            <xdr:cNvPr id="27661" name="Drop Down 13" hidden="1">
              <a:extLst>
                <a:ext uri="{63B3BB69-23CF-44E3-9099-C40C66FF867C}">
                  <a14:compatExt spid="_x0000_s27661"/>
                </a:ext>
                <a:ext uri="{FF2B5EF4-FFF2-40B4-BE49-F238E27FC236}">
                  <a16:creationId xmlns:a16="http://schemas.microsoft.com/office/drawing/2014/main" id="{00000000-0008-0000-0500-00000D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48</xdr:row>
          <xdr:rowOff>19050</xdr:rowOff>
        </xdr:from>
        <xdr:to>
          <xdr:col>15</xdr:col>
          <xdr:colOff>2286000</xdr:colOff>
          <xdr:row>49</xdr:row>
          <xdr:rowOff>0</xdr:rowOff>
        </xdr:to>
        <xdr:sp macro="" textlink="">
          <xdr:nvSpPr>
            <xdr:cNvPr id="27662" name="Drop Down 14" hidden="1">
              <a:extLst>
                <a:ext uri="{63B3BB69-23CF-44E3-9099-C40C66FF867C}">
                  <a14:compatExt spid="_x0000_s27662"/>
                </a:ext>
                <a:ext uri="{FF2B5EF4-FFF2-40B4-BE49-F238E27FC236}">
                  <a16:creationId xmlns:a16="http://schemas.microsoft.com/office/drawing/2014/main" id="{00000000-0008-0000-0500-00000E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49</xdr:row>
          <xdr:rowOff>19050</xdr:rowOff>
        </xdr:from>
        <xdr:to>
          <xdr:col>13</xdr:col>
          <xdr:colOff>2286000</xdr:colOff>
          <xdr:row>50</xdr:row>
          <xdr:rowOff>0</xdr:rowOff>
        </xdr:to>
        <xdr:sp macro="" textlink="">
          <xdr:nvSpPr>
            <xdr:cNvPr id="27663" name="Drop Down 15" hidden="1">
              <a:extLst>
                <a:ext uri="{63B3BB69-23CF-44E3-9099-C40C66FF867C}">
                  <a14:compatExt spid="_x0000_s27663"/>
                </a:ext>
                <a:ext uri="{FF2B5EF4-FFF2-40B4-BE49-F238E27FC236}">
                  <a16:creationId xmlns:a16="http://schemas.microsoft.com/office/drawing/2014/main" id="{00000000-0008-0000-0500-00000F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49</xdr:row>
          <xdr:rowOff>19050</xdr:rowOff>
        </xdr:from>
        <xdr:to>
          <xdr:col>14</xdr:col>
          <xdr:colOff>2286000</xdr:colOff>
          <xdr:row>50</xdr:row>
          <xdr:rowOff>0</xdr:rowOff>
        </xdr:to>
        <xdr:sp macro="" textlink="">
          <xdr:nvSpPr>
            <xdr:cNvPr id="27664" name="Drop Down 16" hidden="1">
              <a:extLst>
                <a:ext uri="{63B3BB69-23CF-44E3-9099-C40C66FF867C}">
                  <a14:compatExt spid="_x0000_s27664"/>
                </a:ext>
                <a:ext uri="{FF2B5EF4-FFF2-40B4-BE49-F238E27FC236}">
                  <a16:creationId xmlns:a16="http://schemas.microsoft.com/office/drawing/2014/main" id="{00000000-0008-0000-0500-000010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49</xdr:row>
          <xdr:rowOff>19050</xdr:rowOff>
        </xdr:from>
        <xdr:to>
          <xdr:col>15</xdr:col>
          <xdr:colOff>2286000</xdr:colOff>
          <xdr:row>50</xdr:row>
          <xdr:rowOff>0</xdr:rowOff>
        </xdr:to>
        <xdr:sp macro="" textlink="">
          <xdr:nvSpPr>
            <xdr:cNvPr id="27665" name="Drop Down 17" hidden="1">
              <a:extLst>
                <a:ext uri="{63B3BB69-23CF-44E3-9099-C40C66FF867C}">
                  <a14:compatExt spid="_x0000_s27665"/>
                </a:ext>
                <a:ext uri="{FF2B5EF4-FFF2-40B4-BE49-F238E27FC236}">
                  <a16:creationId xmlns:a16="http://schemas.microsoft.com/office/drawing/2014/main" id="{00000000-0008-0000-0500-000011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30</xdr:row>
          <xdr:rowOff>38100</xdr:rowOff>
        </xdr:from>
        <xdr:to>
          <xdr:col>12</xdr:col>
          <xdr:colOff>2286000</xdr:colOff>
          <xdr:row>31</xdr:row>
          <xdr:rowOff>0</xdr:rowOff>
        </xdr:to>
        <xdr:sp macro="" textlink="">
          <xdr:nvSpPr>
            <xdr:cNvPr id="27666" name="Drop Down 18" hidden="1">
              <a:extLst>
                <a:ext uri="{63B3BB69-23CF-44E3-9099-C40C66FF867C}">
                  <a14:compatExt spid="_x0000_s27666"/>
                </a:ext>
                <a:ext uri="{FF2B5EF4-FFF2-40B4-BE49-F238E27FC236}">
                  <a16:creationId xmlns:a16="http://schemas.microsoft.com/office/drawing/2014/main" id="{00000000-0008-0000-0500-000012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28</xdr:row>
          <xdr:rowOff>38100</xdr:rowOff>
        </xdr:from>
        <xdr:to>
          <xdr:col>12</xdr:col>
          <xdr:colOff>2286000</xdr:colOff>
          <xdr:row>28</xdr:row>
          <xdr:rowOff>200025</xdr:rowOff>
        </xdr:to>
        <xdr:sp macro="" textlink="">
          <xdr:nvSpPr>
            <xdr:cNvPr id="27667" name="Drop Down 19" hidden="1">
              <a:extLst>
                <a:ext uri="{63B3BB69-23CF-44E3-9099-C40C66FF867C}">
                  <a14:compatExt spid="_x0000_s27667"/>
                </a:ext>
                <a:ext uri="{FF2B5EF4-FFF2-40B4-BE49-F238E27FC236}">
                  <a16:creationId xmlns:a16="http://schemas.microsoft.com/office/drawing/2014/main" id="{00000000-0008-0000-0500-000013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28</xdr:row>
          <xdr:rowOff>38100</xdr:rowOff>
        </xdr:from>
        <xdr:to>
          <xdr:col>13</xdr:col>
          <xdr:colOff>2286000</xdr:colOff>
          <xdr:row>28</xdr:row>
          <xdr:rowOff>200025</xdr:rowOff>
        </xdr:to>
        <xdr:sp macro="" textlink="">
          <xdr:nvSpPr>
            <xdr:cNvPr id="27668" name="Drop Down 20" hidden="1">
              <a:extLst>
                <a:ext uri="{63B3BB69-23CF-44E3-9099-C40C66FF867C}">
                  <a14:compatExt spid="_x0000_s27668"/>
                </a:ext>
                <a:ext uri="{FF2B5EF4-FFF2-40B4-BE49-F238E27FC236}">
                  <a16:creationId xmlns:a16="http://schemas.microsoft.com/office/drawing/2014/main" id="{00000000-0008-0000-0500-000014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14</xdr:col>
          <xdr:colOff>2286000</xdr:colOff>
          <xdr:row>28</xdr:row>
          <xdr:rowOff>200025</xdr:rowOff>
        </xdr:to>
        <xdr:sp macro="" textlink="">
          <xdr:nvSpPr>
            <xdr:cNvPr id="27669" name="Drop Down 21" hidden="1">
              <a:extLst>
                <a:ext uri="{63B3BB69-23CF-44E3-9099-C40C66FF867C}">
                  <a14:compatExt spid="_x0000_s27669"/>
                </a:ext>
                <a:ext uri="{FF2B5EF4-FFF2-40B4-BE49-F238E27FC236}">
                  <a16:creationId xmlns:a16="http://schemas.microsoft.com/office/drawing/2014/main" id="{00000000-0008-0000-0500-000015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10</xdr:col>
      <xdr:colOff>201146</xdr:colOff>
      <xdr:row>89</xdr:row>
      <xdr:rowOff>47625</xdr:rowOff>
    </xdr:from>
    <xdr:to>
      <xdr:col>13</xdr:col>
      <xdr:colOff>301346</xdr:colOff>
      <xdr:row>104</xdr:row>
      <xdr:rowOff>136800</xdr:rowOff>
    </xdr:to>
    <xdr:graphicFrame macro="">
      <xdr:nvGraphicFramePr>
        <xdr:cNvPr id="23" name="Diagramm 22">
          <a:extLst>
            <a:ext uri="{FF2B5EF4-FFF2-40B4-BE49-F238E27FC236}">
              <a16:creationId xmlns:a16="http://schemas.microsoft.com/office/drawing/2014/main" id="{00000000-0008-0000-05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1098736</xdr:colOff>
      <xdr:row>105</xdr:row>
      <xdr:rowOff>180974</xdr:rowOff>
    </xdr:from>
    <xdr:to>
      <xdr:col>14</xdr:col>
      <xdr:colOff>1418460</xdr:colOff>
      <xdr:row>121</xdr:row>
      <xdr:rowOff>165374</xdr:rowOff>
    </xdr:to>
    <xdr:graphicFrame macro="">
      <xdr:nvGraphicFramePr>
        <xdr:cNvPr id="24" name="Diagramm 23">
          <a:extLst>
            <a:ext uri="{FF2B5EF4-FFF2-40B4-BE49-F238E27FC236}">
              <a16:creationId xmlns:a16="http://schemas.microsoft.com/office/drawing/2014/main" id="{00000000-0008-0000-05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613520</xdr:colOff>
      <xdr:row>88</xdr:row>
      <xdr:rowOff>180975</xdr:rowOff>
    </xdr:from>
    <xdr:to>
      <xdr:col>15</xdr:col>
      <xdr:colOff>2011070</xdr:colOff>
      <xdr:row>105</xdr:row>
      <xdr:rowOff>40575</xdr:rowOff>
    </xdr:to>
    <xdr:graphicFrame macro="">
      <xdr:nvGraphicFramePr>
        <xdr:cNvPr id="25" name="Diagramm 24">
          <a:extLst>
            <a:ext uri="{FF2B5EF4-FFF2-40B4-BE49-F238E27FC236}">
              <a16:creationId xmlns:a16="http://schemas.microsoft.com/office/drawing/2014/main" id="{00000000-0008-0000-05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193862</xdr:colOff>
      <xdr:row>106</xdr:row>
      <xdr:rowOff>2239</xdr:rowOff>
    </xdr:from>
    <xdr:to>
      <xdr:col>13</xdr:col>
      <xdr:colOff>294062</xdr:colOff>
      <xdr:row>121</xdr:row>
      <xdr:rowOff>167614</xdr:rowOff>
    </xdr:to>
    <xdr:graphicFrame macro="">
      <xdr:nvGraphicFramePr>
        <xdr:cNvPr id="26" name="Diagramm 25">
          <a:extLst>
            <a:ext uri="{FF2B5EF4-FFF2-40B4-BE49-F238E27FC236}">
              <a16:creationId xmlns:a16="http://schemas.microsoft.com/office/drawing/2014/main" id="{00000000-0008-0000-05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editAs="oneCell">
        <xdr:from>
          <xdr:col>12</xdr:col>
          <xdr:colOff>57150</xdr:colOff>
          <xdr:row>69</xdr:row>
          <xdr:rowOff>0</xdr:rowOff>
        </xdr:from>
        <xdr:to>
          <xdr:col>13</xdr:col>
          <xdr:colOff>1438275</xdr:colOff>
          <xdr:row>70</xdr:row>
          <xdr:rowOff>9525</xdr:rowOff>
        </xdr:to>
        <xdr:sp macro="" textlink="">
          <xdr:nvSpPr>
            <xdr:cNvPr id="27670" name="Check Box 22" descr="N in Wandmitt und -fuß automatisch berechnen" hidden="1">
              <a:extLst>
                <a:ext uri="{63B3BB69-23CF-44E3-9099-C40C66FF867C}">
                  <a14:compatExt spid="_x0000_s27670"/>
                </a:ext>
                <a:ext uri="{FF2B5EF4-FFF2-40B4-BE49-F238E27FC236}">
                  <a16:creationId xmlns:a16="http://schemas.microsoft.com/office/drawing/2014/main" id="{00000000-0008-0000-0500-00001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 N in Wandmitte und -fuß automatisch berechnen</a:t>
              </a:r>
            </a:p>
          </xdr:txBody>
        </xdr:sp>
        <xdr:clientData/>
      </xdr:twoCellAnchor>
    </mc:Choice>
    <mc:Fallback/>
  </mc:AlternateContent>
  <xdr:twoCellAnchor editAs="oneCell">
    <xdr:from>
      <xdr:col>14</xdr:col>
      <xdr:colOff>1685924</xdr:colOff>
      <xdr:row>106</xdr:row>
      <xdr:rowOff>0</xdr:rowOff>
    </xdr:from>
    <xdr:to>
      <xdr:col>15</xdr:col>
      <xdr:colOff>2005650</xdr:colOff>
      <xdr:row>121</xdr:row>
      <xdr:rowOff>165375</xdr:rowOff>
    </xdr:to>
    <xdr:graphicFrame macro="">
      <xdr:nvGraphicFramePr>
        <xdr:cNvPr id="28" name="Diagramm 27">
          <a:extLst>
            <a:ext uri="{FF2B5EF4-FFF2-40B4-BE49-F238E27FC236}">
              <a16:creationId xmlns:a16="http://schemas.microsoft.com/office/drawing/2014/main" id="{00000000-0008-0000-05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editAs="oneCell">
        <xdr:from>
          <xdr:col>13</xdr:col>
          <xdr:colOff>47625</xdr:colOff>
          <xdr:row>40</xdr:row>
          <xdr:rowOff>19050</xdr:rowOff>
        </xdr:from>
        <xdr:to>
          <xdr:col>13</xdr:col>
          <xdr:colOff>2286000</xdr:colOff>
          <xdr:row>41</xdr:row>
          <xdr:rowOff>0</xdr:rowOff>
        </xdr:to>
        <xdr:sp macro="" textlink="">
          <xdr:nvSpPr>
            <xdr:cNvPr id="27671" name="Drop Down 23" hidden="1">
              <a:extLst>
                <a:ext uri="{63B3BB69-23CF-44E3-9099-C40C66FF867C}">
                  <a14:compatExt spid="_x0000_s27671"/>
                </a:ext>
                <a:ext uri="{FF2B5EF4-FFF2-40B4-BE49-F238E27FC236}">
                  <a16:creationId xmlns:a16="http://schemas.microsoft.com/office/drawing/2014/main" id="{00000000-0008-0000-0500-000017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2847975</xdr:colOff>
          <xdr:row>40</xdr:row>
          <xdr:rowOff>171450</xdr:rowOff>
        </xdr:from>
        <xdr:to>
          <xdr:col>11</xdr:col>
          <xdr:colOff>0</xdr:colOff>
          <xdr:row>41</xdr:row>
          <xdr:rowOff>190500</xdr:rowOff>
        </xdr:to>
        <xdr:sp macro="" textlink="">
          <xdr:nvSpPr>
            <xdr:cNvPr id="27672" name="Check Box 24" hidden="1">
              <a:extLst>
                <a:ext uri="{63B3BB69-23CF-44E3-9099-C40C66FF867C}">
                  <a14:compatExt spid="_x0000_s27672"/>
                </a:ext>
                <a:ext uri="{FF2B5EF4-FFF2-40B4-BE49-F238E27FC236}">
                  <a16:creationId xmlns:a16="http://schemas.microsoft.com/office/drawing/2014/main" id="{00000000-0008-0000-0500-00001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2847975</xdr:colOff>
          <xdr:row>42</xdr:row>
          <xdr:rowOff>0</xdr:rowOff>
        </xdr:from>
        <xdr:to>
          <xdr:col>11</xdr:col>
          <xdr:colOff>0</xdr:colOff>
          <xdr:row>43</xdr:row>
          <xdr:rowOff>0</xdr:rowOff>
        </xdr:to>
        <xdr:sp macro="" textlink="">
          <xdr:nvSpPr>
            <xdr:cNvPr id="27673" name="Check Box 25" hidden="1">
              <a:extLst>
                <a:ext uri="{63B3BB69-23CF-44E3-9099-C40C66FF867C}">
                  <a14:compatExt spid="_x0000_s27673"/>
                </a:ext>
                <a:ext uri="{FF2B5EF4-FFF2-40B4-BE49-F238E27FC236}">
                  <a16:creationId xmlns:a16="http://schemas.microsoft.com/office/drawing/2014/main" id="{00000000-0008-0000-0500-00001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17</xdr:col>
      <xdr:colOff>0</xdr:colOff>
      <xdr:row>71</xdr:row>
      <xdr:rowOff>101157</xdr:rowOff>
    </xdr:from>
    <xdr:to>
      <xdr:col>17</xdr:col>
      <xdr:colOff>0</xdr:colOff>
      <xdr:row>72</xdr:row>
      <xdr:rowOff>102151</xdr:rowOff>
    </xdr:to>
    <xdr:grpSp>
      <xdr:nvGrpSpPr>
        <xdr:cNvPr id="32" name="Gruppieren 31">
          <a:extLst>
            <a:ext uri="{FF2B5EF4-FFF2-40B4-BE49-F238E27FC236}">
              <a16:creationId xmlns:a16="http://schemas.microsoft.com/office/drawing/2014/main" id="{00000000-0008-0000-0500-000020000000}"/>
            </a:ext>
          </a:extLst>
        </xdr:cNvPr>
        <xdr:cNvGrpSpPr/>
      </xdr:nvGrpSpPr>
      <xdr:grpSpPr>
        <a:xfrm>
          <a:off x="13220700" y="11712132"/>
          <a:ext cx="0" cy="220069"/>
          <a:chOff x="17981263" y="13161634"/>
          <a:chExt cx="368084" cy="308976"/>
        </a:xfrm>
      </xdr:grpSpPr>
      <xdr:sp macro="" textlink="">
        <xdr:nvSpPr>
          <xdr:cNvPr id="33" name="Gleichschenkliges Dreieck 32">
            <a:extLst>
              <a:ext uri="{FF2B5EF4-FFF2-40B4-BE49-F238E27FC236}">
                <a16:creationId xmlns:a16="http://schemas.microsoft.com/office/drawing/2014/main" id="{00000000-0008-0000-0500-000021000000}"/>
              </a:ext>
            </a:extLst>
          </xdr:cNvPr>
          <xdr:cNvSpPr/>
        </xdr:nvSpPr>
        <xdr:spPr>
          <a:xfrm>
            <a:off x="18039381" y="13318855"/>
            <a:ext cx="258305" cy="116237"/>
          </a:xfrm>
          <a:prstGeom prst="triangle">
            <a:avLst/>
          </a:prstGeom>
          <a:solidFill>
            <a:srgbClr val="DDDDDD"/>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sp macro="" textlink="">
        <xdr:nvSpPr>
          <xdr:cNvPr id="34" name="Ellipse 33">
            <a:extLst>
              <a:ext uri="{FF2B5EF4-FFF2-40B4-BE49-F238E27FC236}">
                <a16:creationId xmlns:a16="http://schemas.microsoft.com/office/drawing/2014/main" id="{00000000-0008-0000-0500-000022000000}"/>
              </a:ext>
            </a:extLst>
          </xdr:cNvPr>
          <xdr:cNvSpPr/>
        </xdr:nvSpPr>
        <xdr:spPr>
          <a:xfrm>
            <a:off x="18141250" y="13289312"/>
            <a:ext cx="57150" cy="57150"/>
          </a:xfrm>
          <a:prstGeom prst="ellipse">
            <a:avLst/>
          </a:prstGeom>
          <a:solidFill>
            <a:srgbClr val="DDDDDD"/>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cxnSp macro="">
        <xdr:nvCxnSpPr>
          <xdr:cNvPr id="35" name="Gerader Verbinder 34">
            <a:extLst>
              <a:ext uri="{FF2B5EF4-FFF2-40B4-BE49-F238E27FC236}">
                <a16:creationId xmlns:a16="http://schemas.microsoft.com/office/drawing/2014/main" id="{00000000-0008-0000-0500-000023000000}"/>
              </a:ext>
            </a:extLst>
          </xdr:cNvPr>
          <xdr:cNvCxnSpPr/>
        </xdr:nvCxnSpPr>
        <xdr:spPr>
          <a:xfrm>
            <a:off x="17981263" y="13470610"/>
            <a:ext cx="368084"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sp macro="" textlink="">
        <xdr:nvSpPr>
          <xdr:cNvPr id="36" name="Ellipse 35">
            <a:extLst>
              <a:ext uri="{FF2B5EF4-FFF2-40B4-BE49-F238E27FC236}">
                <a16:creationId xmlns:a16="http://schemas.microsoft.com/office/drawing/2014/main" id="{00000000-0008-0000-0500-000024000000}"/>
              </a:ext>
            </a:extLst>
          </xdr:cNvPr>
          <xdr:cNvSpPr/>
        </xdr:nvSpPr>
        <xdr:spPr>
          <a:xfrm>
            <a:off x="18141249" y="13161634"/>
            <a:ext cx="57150" cy="57150"/>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grpSp>
    <xdr:clientData/>
  </xdr:twoCellAnchor>
  <xdr:twoCellAnchor>
    <xdr:from>
      <xdr:col>17</xdr:col>
      <xdr:colOff>0</xdr:colOff>
      <xdr:row>72</xdr:row>
      <xdr:rowOff>46791</xdr:rowOff>
    </xdr:from>
    <xdr:to>
      <xdr:col>17</xdr:col>
      <xdr:colOff>0</xdr:colOff>
      <xdr:row>74</xdr:row>
      <xdr:rowOff>87514</xdr:rowOff>
    </xdr:to>
    <xdr:grpSp>
      <xdr:nvGrpSpPr>
        <xdr:cNvPr id="37" name="Gruppieren 36">
          <a:extLst>
            <a:ext uri="{FF2B5EF4-FFF2-40B4-BE49-F238E27FC236}">
              <a16:creationId xmlns:a16="http://schemas.microsoft.com/office/drawing/2014/main" id="{00000000-0008-0000-0500-000025000000}"/>
            </a:ext>
          </a:extLst>
        </xdr:cNvPr>
        <xdr:cNvGrpSpPr/>
      </xdr:nvGrpSpPr>
      <xdr:grpSpPr>
        <a:xfrm>
          <a:off x="13220700" y="11876841"/>
          <a:ext cx="0" cy="421723"/>
          <a:chOff x="17738525" y="12272010"/>
          <a:chExt cx="197568" cy="522573"/>
        </a:xfrm>
      </xdr:grpSpPr>
      <xdr:cxnSp macro="">
        <xdr:nvCxnSpPr>
          <xdr:cNvPr id="38" name="Gerader Verbinder 37">
            <a:extLst>
              <a:ext uri="{FF2B5EF4-FFF2-40B4-BE49-F238E27FC236}">
                <a16:creationId xmlns:a16="http://schemas.microsoft.com/office/drawing/2014/main" id="{00000000-0008-0000-0500-000026000000}"/>
              </a:ext>
            </a:extLst>
          </xdr:cNvPr>
          <xdr:cNvCxnSpPr/>
        </xdr:nvCxnSpPr>
        <xdr:spPr>
          <a:xfrm flipV="1">
            <a:off x="17738525" y="12440865"/>
            <a:ext cx="109122" cy="109119"/>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cxnSp macro="">
        <xdr:nvCxnSpPr>
          <xdr:cNvPr id="39" name="Gerader Verbinder 38">
            <a:extLst>
              <a:ext uri="{FF2B5EF4-FFF2-40B4-BE49-F238E27FC236}">
                <a16:creationId xmlns:a16="http://schemas.microsoft.com/office/drawing/2014/main" id="{00000000-0008-0000-0500-000027000000}"/>
              </a:ext>
            </a:extLst>
          </xdr:cNvPr>
          <xdr:cNvCxnSpPr/>
        </xdr:nvCxnSpPr>
        <xdr:spPr>
          <a:xfrm flipV="1">
            <a:off x="17849504" y="12302319"/>
            <a:ext cx="0" cy="412347"/>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0" name="Gerader Verbinder 39">
            <a:extLst>
              <a:ext uri="{FF2B5EF4-FFF2-40B4-BE49-F238E27FC236}">
                <a16:creationId xmlns:a16="http://schemas.microsoft.com/office/drawing/2014/main" id="{00000000-0008-0000-0500-000028000000}"/>
              </a:ext>
            </a:extLst>
          </xdr:cNvPr>
          <xdr:cNvCxnSpPr/>
        </xdr:nvCxnSpPr>
        <xdr:spPr>
          <a:xfrm flipV="1">
            <a:off x="17849502" y="12272010"/>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Gerader Verbinder 40">
            <a:extLst>
              <a:ext uri="{FF2B5EF4-FFF2-40B4-BE49-F238E27FC236}">
                <a16:creationId xmlns:a16="http://schemas.microsoft.com/office/drawing/2014/main" id="{00000000-0008-0000-0500-000029000000}"/>
              </a:ext>
            </a:extLst>
          </xdr:cNvPr>
          <xdr:cNvCxnSpPr/>
        </xdr:nvCxnSpPr>
        <xdr:spPr>
          <a:xfrm flipV="1">
            <a:off x="17849502" y="12354272"/>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2" name="Gerader Verbinder 41">
            <a:extLst>
              <a:ext uri="{FF2B5EF4-FFF2-40B4-BE49-F238E27FC236}">
                <a16:creationId xmlns:a16="http://schemas.microsoft.com/office/drawing/2014/main" id="{00000000-0008-0000-0500-00002A000000}"/>
              </a:ext>
            </a:extLst>
          </xdr:cNvPr>
          <xdr:cNvCxnSpPr/>
        </xdr:nvCxnSpPr>
        <xdr:spPr>
          <a:xfrm flipV="1">
            <a:off x="17849502" y="12440863"/>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3" name="Gerader Verbinder 42">
            <a:extLst>
              <a:ext uri="{FF2B5EF4-FFF2-40B4-BE49-F238E27FC236}">
                <a16:creationId xmlns:a16="http://schemas.microsoft.com/office/drawing/2014/main" id="{00000000-0008-0000-0500-00002B000000}"/>
              </a:ext>
            </a:extLst>
          </xdr:cNvPr>
          <xdr:cNvCxnSpPr/>
        </xdr:nvCxnSpPr>
        <xdr:spPr>
          <a:xfrm flipV="1">
            <a:off x="17849502" y="12523123"/>
            <a:ext cx="86591" cy="8763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4" name="Gerader Verbinder 43">
            <a:extLst>
              <a:ext uri="{FF2B5EF4-FFF2-40B4-BE49-F238E27FC236}">
                <a16:creationId xmlns:a16="http://schemas.microsoft.com/office/drawing/2014/main" id="{00000000-0008-0000-0500-00002C000000}"/>
              </a:ext>
            </a:extLst>
          </xdr:cNvPr>
          <xdr:cNvCxnSpPr/>
        </xdr:nvCxnSpPr>
        <xdr:spPr>
          <a:xfrm flipV="1">
            <a:off x="17849502" y="12602096"/>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5" name="Gerader Verbinder 44">
            <a:extLst>
              <a:ext uri="{FF2B5EF4-FFF2-40B4-BE49-F238E27FC236}">
                <a16:creationId xmlns:a16="http://schemas.microsoft.com/office/drawing/2014/main" id="{00000000-0008-0000-0500-00002D000000}"/>
              </a:ext>
            </a:extLst>
          </xdr:cNvPr>
          <xdr:cNvCxnSpPr/>
        </xdr:nvCxnSpPr>
        <xdr:spPr>
          <a:xfrm flipV="1">
            <a:off x="17849502" y="12707992"/>
            <a:ext cx="86591" cy="86591"/>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0</xdr:colOff>
      <xdr:row>72</xdr:row>
      <xdr:rowOff>71438</xdr:rowOff>
    </xdr:from>
    <xdr:to>
      <xdr:col>17</xdr:col>
      <xdr:colOff>0</xdr:colOff>
      <xdr:row>74</xdr:row>
      <xdr:rowOff>102135</xdr:rowOff>
    </xdr:to>
    <xdr:grpSp>
      <xdr:nvGrpSpPr>
        <xdr:cNvPr id="46" name="Gruppieren 45">
          <a:extLst>
            <a:ext uri="{FF2B5EF4-FFF2-40B4-BE49-F238E27FC236}">
              <a16:creationId xmlns:a16="http://schemas.microsoft.com/office/drawing/2014/main" id="{00000000-0008-0000-0500-00002E000000}"/>
            </a:ext>
          </a:extLst>
        </xdr:cNvPr>
        <xdr:cNvGrpSpPr/>
      </xdr:nvGrpSpPr>
      <xdr:grpSpPr>
        <a:xfrm flipH="1">
          <a:off x="13220700" y="11901488"/>
          <a:ext cx="0" cy="411697"/>
          <a:chOff x="17738525" y="12272010"/>
          <a:chExt cx="197568" cy="522573"/>
        </a:xfrm>
      </xdr:grpSpPr>
      <xdr:cxnSp macro="">
        <xdr:nvCxnSpPr>
          <xdr:cNvPr id="47" name="Gerader Verbinder 46">
            <a:extLst>
              <a:ext uri="{FF2B5EF4-FFF2-40B4-BE49-F238E27FC236}">
                <a16:creationId xmlns:a16="http://schemas.microsoft.com/office/drawing/2014/main" id="{00000000-0008-0000-0500-00002F000000}"/>
              </a:ext>
            </a:extLst>
          </xdr:cNvPr>
          <xdr:cNvCxnSpPr/>
        </xdr:nvCxnSpPr>
        <xdr:spPr>
          <a:xfrm flipV="1">
            <a:off x="17738525" y="12440865"/>
            <a:ext cx="109122" cy="109119"/>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cxnSp macro="">
        <xdr:nvCxnSpPr>
          <xdr:cNvPr id="48" name="Gerader Verbinder 47">
            <a:extLst>
              <a:ext uri="{FF2B5EF4-FFF2-40B4-BE49-F238E27FC236}">
                <a16:creationId xmlns:a16="http://schemas.microsoft.com/office/drawing/2014/main" id="{00000000-0008-0000-0500-000030000000}"/>
              </a:ext>
            </a:extLst>
          </xdr:cNvPr>
          <xdr:cNvCxnSpPr/>
        </xdr:nvCxnSpPr>
        <xdr:spPr>
          <a:xfrm flipV="1">
            <a:off x="17849504" y="12302319"/>
            <a:ext cx="0" cy="412347"/>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9" name="Gerader Verbinder 48">
            <a:extLst>
              <a:ext uri="{FF2B5EF4-FFF2-40B4-BE49-F238E27FC236}">
                <a16:creationId xmlns:a16="http://schemas.microsoft.com/office/drawing/2014/main" id="{00000000-0008-0000-0500-000031000000}"/>
              </a:ext>
            </a:extLst>
          </xdr:cNvPr>
          <xdr:cNvCxnSpPr/>
        </xdr:nvCxnSpPr>
        <xdr:spPr>
          <a:xfrm flipV="1">
            <a:off x="17849502" y="12272010"/>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0" name="Gerader Verbinder 49">
            <a:extLst>
              <a:ext uri="{FF2B5EF4-FFF2-40B4-BE49-F238E27FC236}">
                <a16:creationId xmlns:a16="http://schemas.microsoft.com/office/drawing/2014/main" id="{00000000-0008-0000-0500-000032000000}"/>
              </a:ext>
            </a:extLst>
          </xdr:cNvPr>
          <xdr:cNvCxnSpPr/>
        </xdr:nvCxnSpPr>
        <xdr:spPr>
          <a:xfrm flipV="1">
            <a:off x="17849502" y="12354272"/>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1" name="Gerader Verbinder 50">
            <a:extLst>
              <a:ext uri="{FF2B5EF4-FFF2-40B4-BE49-F238E27FC236}">
                <a16:creationId xmlns:a16="http://schemas.microsoft.com/office/drawing/2014/main" id="{00000000-0008-0000-0500-000033000000}"/>
              </a:ext>
            </a:extLst>
          </xdr:cNvPr>
          <xdr:cNvCxnSpPr/>
        </xdr:nvCxnSpPr>
        <xdr:spPr>
          <a:xfrm flipV="1">
            <a:off x="17849502" y="12440863"/>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2" name="Gerader Verbinder 51">
            <a:extLst>
              <a:ext uri="{FF2B5EF4-FFF2-40B4-BE49-F238E27FC236}">
                <a16:creationId xmlns:a16="http://schemas.microsoft.com/office/drawing/2014/main" id="{00000000-0008-0000-0500-000034000000}"/>
              </a:ext>
            </a:extLst>
          </xdr:cNvPr>
          <xdr:cNvCxnSpPr/>
        </xdr:nvCxnSpPr>
        <xdr:spPr>
          <a:xfrm flipV="1">
            <a:off x="17849502" y="12523123"/>
            <a:ext cx="86591" cy="8763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3" name="Gerader Verbinder 52">
            <a:extLst>
              <a:ext uri="{FF2B5EF4-FFF2-40B4-BE49-F238E27FC236}">
                <a16:creationId xmlns:a16="http://schemas.microsoft.com/office/drawing/2014/main" id="{00000000-0008-0000-0500-000035000000}"/>
              </a:ext>
            </a:extLst>
          </xdr:cNvPr>
          <xdr:cNvCxnSpPr/>
        </xdr:nvCxnSpPr>
        <xdr:spPr>
          <a:xfrm flipV="1">
            <a:off x="17849502" y="12602096"/>
            <a:ext cx="86591" cy="8659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4" name="Gerader Verbinder 53">
            <a:extLst>
              <a:ext uri="{FF2B5EF4-FFF2-40B4-BE49-F238E27FC236}">
                <a16:creationId xmlns:a16="http://schemas.microsoft.com/office/drawing/2014/main" id="{00000000-0008-0000-0500-000036000000}"/>
              </a:ext>
            </a:extLst>
          </xdr:cNvPr>
          <xdr:cNvCxnSpPr/>
        </xdr:nvCxnSpPr>
        <xdr:spPr>
          <a:xfrm flipV="1">
            <a:off x="17849502" y="12707992"/>
            <a:ext cx="86591" cy="86591"/>
          </a:xfrm>
          <a:prstGeom prst="line">
            <a:avLst/>
          </a:prstGeom>
          <a:ln w="12700">
            <a:noFill/>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10</xdr:col>
          <xdr:colOff>2847975</xdr:colOff>
          <xdr:row>40</xdr:row>
          <xdr:rowOff>171450</xdr:rowOff>
        </xdr:from>
        <xdr:to>
          <xdr:col>11</xdr:col>
          <xdr:colOff>0</xdr:colOff>
          <xdr:row>41</xdr:row>
          <xdr:rowOff>200025</xdr:rowOff>
        </xdr:to>
        <xdr:sp macro="" textlink="">
          <xdr:nvSpPr>
            <xdr:cNvPr id="27674" name="Check Box 26" hidden="1">
              <a:extLst>
                <a:ext uri="{63B3BB69-23CF-44E3-9099-C40C66FF867C}">
                  <a14:compatExt spid="_x0000_s27674"/>
                </a:ext>
                <a:ext uri="{FF2B5EF4-FFF2-40B4-BE49-F238E27FC236}">
                  <a16:creationId xmlns:a16="http://schemas.microsoft.com/office/drawing/2014/main" id="{00000000-0008-0000-0500-00001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128</xdr:row>
          <xdr:rowOff>0</xdr:rowOff>
        </xdr:from>
        <xdr:to>
          <xdr:col>11</xdr:col>
          <xdr:colOff>219075</xdr:colOff>
          <xdr:row>129</xdr:row>
          <xdr:rowOff>0</xdr:rowOff>
        </xdr:to>
        <xdr:sp macro="" textlink="">
          <xdr:nvSpPr>
            <xdr:cNvPr id="27675" name="Check Box 27" hidden="1">
              <a:extLst>
                <a:ext uri="{63B3BB69-23CF-44E3-9099-C40C66FF867C}">
                  <a14:compatExt spid="_x0000_s27675"/>
                </a:ext>
                <a:ext uri="{FF2B5EF4-FFF2-40B4-BE49-F238E27FC236}">
                  <a16:creationId xmlns:a16="http://schemas.microsoft.com/office/drawing/2014/main" id="{00000000-0008-0000-0500-00001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283036</xdr:colOff>
      <xdr:row>18</xdr:row>
      <xdr:rowOff>97972</xdr:rowOff>
    </xdr:from>
    <xdr:to>
      <xdr:col>15</xdr:col>
      <xdr:colOff>2083036</xdr:colOff>
      <xdr:row>19</xdr:row>
      <xdr:rowOff>524516</xdr:rowOff>
    </xdr:to>
    <xdr:pic>
      <xdr:nvPicPr>
        <xdr:cNvPr id="57" name="Grafik 56">
          <a:extLst>
            <a:ext uri="{FF2B5EF4-FFF2-40B4-BE49-F238E27FC236}">
              <a16:creationId xmlns:a16="http://schemas.microsoft.com/office/drawing/2014/main" id="{00000000-0008-0000-0500-000039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1074861" y="345622"/>
          <a:ext cx="1800000" cy="607519"/>
        </a:xfrm>
        <a:prstGeom prst="rect">
          <a:avLst/>
        </a:prstGeom>
      </xdr:spPr>
    </xdr:pic>
    <xdr:clientData fLocksWithSheet="0"/>
  </xdr:twoCellAnchor>
  <mc:AlternateContent xmlns:mc="http://schemas.openxmlformats.org/markup-compatibility/2006">
    <mc:Choice xmlns:a14="http://schemas.microsoft.com/office/drawing/2010/main" Requires="a14">
      <xdr:twoCellAnchor editAs="oneCell">
        <xdr:from>
          <xdr:col>13</xdr:col>
          <xdr:colOff>47625</xdr:colOff>
          <xdr:row>36</xdr:row>
          <xdr:rowOff>19050</xdr:rowOff>
        </xdr:from>
        <xdr:to>
          <xdr:col>13</xdr:col>
          <xdr:colOff>2286000</xdr:colOff>
          <xdr:row>37</xdr:row>
          <xdr:rowOff>0</xdr:rowOff>
        </xdr:to>
        <xdr:sp macro="" textlink="">
          <xdr:nvSpPr>
            <xdr:cNvPr id="27676" name="Drop Down 28" hidden="1">
              <a:extLst>
                <a:ext uri="{63B3BB69-23CF-44E3-9099-C40C66FF867C}">
                  <a14:compatExt spid="_x0000_s27676"/>
                </a:ext>
                <a:ext uri="{FF2B5EF4-FFF2-40B4-BE49-F238E27FC236}">
                  <a16:creationId xmlns:a16="http://schemas.microsoft.com/office/drawing/2014/main" id="{00000000-0008-0000-0500-00001C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31</xdr:row>
          <xdr:rowOff>19050</xdr:rowOff>
        </xdr:from>
        <xdr:to>
          <xdr:col>13</xdr:col>
          <xdr:colOff>2286000</xdr:colOff>
          <xdr:row>32</xdr:row>
          <xdr:rowOff>0</xdr:rowOff>
        </xdr:to>
        <xdr:sp macro="" textlink="">
          <xdr:nvSpPr>
            <xdr:cNvPr id="27677" name="Drop Down 29" hidden="1">
              <a:extLst>
                <a:ext uri="{63B3BB69-23CF-44E3-9099-C40C66FF867C}">
                  <a14:compatExt spid="_x0000_s27677"/>
                </a:ext>
                <a:ext uri="{FF2B5EF4-FFF2-40B4-BE49-F238E27FC236}">
                  <a16:creationId xmlns:a16="http://schemas.microsoft.com/office/drawing/2014/main" id="{00000000-0008-0000-0500-00001D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15</xdr:col>
      <xdr:colOff>9525</xdr:colOff>
      <xdr:row>28</xdr:row>
      <xdr:rowOff>38100</xdr:rowOff>
    </xdr:from>
    <xdr:to>
      <xdr:col>16</xdr:col>
      <xdr:colOff>39824</xdr:colOff>
      <xdr:row>33</xdr:row>
      <xdr:rowOff>151875</xdr:rowOff>
    </xdr:to>
    <xdr:graphicFrame macro="">
      <xdr:nvGraphicFramePr>
        <xdr:cNvPr id="60" name="Diagramm 59">
          <a:extLst>
            <a:ext uri="{FF2B5EF4-FFF2-40B4-BE49-F238E27FC236}">
              <a16:creationId xmlns:a16="http://schemas.microsoft.com/office/drawing/2014/main" id="{00000000-0008-0000-0500-00003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mc:AlternateContent xmlns:mc="http://schemas.openxmlformats.org/markup-compatibility/2006">
    <mc:Choice xmlns:a14="http://schemas.microsoft.com/office/drawing/2010/main" Requires="a14">
      <xdr:twoCellAnchor editAs="oneCell">
        <xdr:from>
          <xdr:col>14</xdr:col>
          <xdr:colOff>66675</xdr:colOff>
          <xdr:row>71</xdr:row>
          <xdr:rowOff>9525</xdr:rowOff>
        </xdr:from>
        <xdr:to>
          <xdr:col>14</xdr:col>
          <xdr:colOff>2305050</xdr:colOff>
          <xdr:row>71</xdr:row>
          <xdr:rowOff>171450</xdr:rowOff>
        </xdr:to>
        <xdr:sp macro="" textlink="">
          <xdr:nvSpPr>
            <xdr:cNvPr id="27678" name="Drop Down 30" hidden="1">
              <a:extLst>
                <a:ext uri="{63B3BB69-23CF-44E3-9099-C40C66FF867C}">
                  <a14:compatExt spid="_x0000_s27678"/>
                </a:ext>
                <a:ext uri="{FF2B5EF4-FFF2-40B4-BE49-F238E27FC236}">
                  <a16:creationId xmlns:a16="http://schemas.microsoft.com/office/drawing/2014/main" id="{00000000-0008-0000-0500-00001E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15</xdr:col>
      <xdr:colOff>0</xdr:colOff>
      <xdr:row>35</xdr:row>
      <xdr:rowOff>28575</xdr:rowOff>
    </xdr:from>
    <xdr:to>
      <xdr:col>16</xdr:col>
      <xdr:colOff>31724</xdr:colOff>
      <xdr:row>40</xdr:row>
      <xdr:rowOff>180450</xdr:rowOff>
    </xdr:to>
    <xdr:graphicFrame macro="">
      <xdr:nvGraphicFramePr>
        <xdr:cNvPr id="62" name="Diagramm 61">
          <a:extLst>
            <a:ext uri="{FF2B5EF4-FFF2-40B4-BE49-F238E27FC236}">
              <a16:creationId xmlns:a16="http://schemas.microsoft.com/office/drawing/2014/main" id="{00000000-0008-0000-0500-00003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mc:AlternateContent xmlns:mc="http://schemas.openxmlformats.org/markup-compatibility/2006">
    <mc:Choice xmlns:a14="http://schemas.microsoft.com/office/drawing/2010/main" Requires="a14">
      <xdr:twoCellAnchor editAs="oneCell">
        <xdr:from>
          <xdr:col>15</xdr:col>
          <xdr:colOff>47625</xdr:colOff>
          <xdr:row>69</xdr:row>
          <xdr:rowOff>9525</xdr:rowOff>
        </xdr:from>
        <xdr:to>
          <xdr:col>15</xdr:col>
          <xdr:colOff>2286000</xdr:colOff>
          <xdr:row>69</xdr:row>
          <xdr:rowOff>171450</xdr:rowOff>
        </xdr:to>
        <xdr:sp macro="" textlink="">
          <xdr:nvSpPr>
            <xdr:cNvPr id="27679" name="Drop Down 31" hidden="1">
              <a:extLst>
                <a:ext uri="{63B3BB69-23CF-44E3-9099-C40C66FF867C}">
                  <a14:compatExt spid="_x0000_s27679"/>
                </a:ext>
                <a:ext uri="{FF2B5EF4-FFF2-40B4-BE49-F238E27FC236}">
                  <a16:creationId xmlns:a16="http://schemas.microsoft.com/office/drawing/2014/main" id="{00000000-0008-0000-0500-00001F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39</xdr:row>
          <xdr:rowOff>19050</xdr:rowOff>
        </xdr:from>
        <xdr:to>
          <xdr:col>12</xdr:col>
          <xdr:colOff>2286000</xdr:colOff>
          <xdr:row>40</xdr:row>
          <xdr:rowOff>0</xdr:rowOff>
        </xdr:to>
        <xdr:sp macro="" textlink="">
          <xdr:nvSpPr>
            <xdr:cNvPr id="27680" name="Drop Down 32" hidden="1">
              <a:extLst>
                <a:ext uri="{63B3BB69-23CF-44E3-9099-C40C66FF867C}">
                  <a14:compatExt spid="_x0000_s27680"/>
                </a:ext>
                <a:ext uri="{FF2B5EF4-FFF2-40B4-BE49-F238E27FC236}">
                  <a16:creationId xmlns:a16="http://schemas.microsoft.com/office/drawing/2014/main" id="{00000000-0008-0000-0500-000020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39</xdr:row>
          <xdr:rowOff>19050</xdr:rowOff>
        </xdr:from>
        <xdr:to>
          <xdr:col>13</xdr:col>
          <xdr:colOff>2286000</xdr:colOff>
          <xdr:row>40</xdr:row>
          <xdr:rowOff>0</xdr:rowOff>
        </xdr:to>
        <xdr:sp macro="" textlink="">
          <xdr:nvSpPr>
            <xdr:cNvPr id="27681" name="Drop Down 33" hidden="1">
              <a:extLst>
                <a:ext uri="{63B3BB69-23CF-44E3-9099-C40C66FF867C}">
                  <a14:compatExt spid="_x0000_s27681"/>
                </a:ext>
                <a:ext uri="{FF2B5EF4-FFF2-40B4-BE49-F238E27FC236}">
                  <a16:creationId xmlns:a16="http://schemas.microsoft.com/office/drawing/2014/main" id="{00000000-0008-0000-0500-000021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37</xdr:row>
          <xdr:rowOff>19050</xdr:rowOff>
        </xdr:from>
        <xdr:to>
          <xdr:col>13</xdr:col>
          <xdr:colOff>2286000</xdr:colOff>
          <xdr:row>38</xdr:row>
          <xdr:rowOff>0</xdr:rowOff>
        </xdr:to>
        <xdr:sp macro="" textlink="">
          <xdr:nvSpPr>
            <xdr:cNvPr id="27682" name="Drop Down 34" hidden="1">
              <a:extLst>
                <a:ext uri="{63B3BB69-23CF-44E3-9099-C40C66FF867C}">
                  <a14:compatExt spid="_x0000_s27682"/>
                </a:ext>
                <a:ext uri="{FF2B5EF4-FFF2-40B4-BE49-F238E27FC236}">
                  <a16:creationId xmlns:a16="http://schemas.microsoft.com/office/drawing/2014/main" id="{00000000-0008-0000-0500-0000226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wienerberger.de/" TargetMode="External"/><Relationship Id="rId7" Type="http://schemas.openxmlformats.org/officeDocument/2006/relationships/drawing" Target="../drawings/drawing1.xml"/><Relationship Id="rId2" Type="http://schemas.openxmlformats.org/officeDocument/2006/relationships/hyperlink" Target="mailto:nrd-pro-tool@wienerberger.com" TargetMode="External"/><Relationship Id="rId1" Type="http://schemas.openxmlformats.org/officeDocument/2006/relationships/printerSettings" Target="../printerSettings/printerSettings1.bin"/><Relationship Id="rId6" Type="http://schemas.openxmlformats.org/officeDocument/2006/relationships/printerSettings" Target="../printerSettings/printerSettings2.bin"/><Relationship Id="rId5" Type="http://schemas.openxmlformats.org/officeDocument/2006/relationships/hyperlink" Target="http://www.clay-wienerberger.com/" TargetMode="External"/><Relationship Id="rId4" Type="http://schemas.openxmlformats.org/officeDocument/2006/relationships/hyperlink" Target="http://www.wienerberger.de/"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3" Type="http://schemas.openxmlformats.org/officeDocument/2006/relationships/drawing" Target="../drawings/drawing2.x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2" Type="http://schemas.openxmlformats.org/officeDocument/2006/relationships/printerSettings" Target="../printerSettings/printerSettings5.bin"/><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printerSettings" Target="../printerSettings/printerSettings4.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5" Type="http://schemas.openxmlformats.org/officeDocument/2006/relationships/vmlDrawing" Target="../drawings/vmlDrawing2.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vmlDrawing" Target="../drawings/vmlDrawing1.v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18" Type="http://schemas.openxmlformats.org/officeDocument/2006/relationships/ctrlProp" Target="../ctrlProps/ctrlProp48.xml"/><Relationship Id="rId26" Type="http://schemas.openxmlformats.org/officeDocument/2006/relationships/ctrlProp" Target="../ctrlProps/ctrlProp56.xml"/><Relationship Id="rId3" Type="http://schemas.openxmlformats.org/officeDocument/2006/relationships/vmlDrawing" Target="../drawings/vmlDrawing3.vml"/><Relationship Id="rId21" Type="http://schemas.openxmlformats.org/officeDocument/2006/relationships/ctrlProp" Target="../ctrlProps/ctrlProp51.xml"/><Relationship Id="rId34" Type="http://schemas.openxmlformats.org/officeDocument/2006/relationships/ctrlProp" Target="../ctrlProps/ctrlProp64.xml"/><Relationship Id="rId7" Type="http://schemas.openxmlformats.org/officeDocument/2006/relationships/ctrlProp" Target="../ctrlProps/ctrlProp37.xml"/><Relationship Id="rId12" Type="http://schemas.openxmlformats.org/officeDocument/2006/relationships/ctrlProp" Target="../ctrlProps/ctrlProp42.xml"/><Relationship Id="rId17" Type="http://schemas.openxmlformats.org/officeDocument/2006/relationships/ctrlProp" Target="../ctrlProps/ctrlProp47.xml"/><Relationship Id="rId25" Type="http://schemas.openxmlformats.org/officeDocument/2006/relationships/ctrlProp" Target="../ctrlProps/ctrlProp55.xml"/><Relationship Id="rId33" Type="http://schemas.openxmlformats.org/officeDocument/2006/relationships/ctrlProp" Target="../ctrlProps/ctrlProp63.xml"/><Relationship Id="rId38" Type="http://schemas.openxmlformats.org/officeDocument/2006/relationships/ctrlProp" Target="../ctrlProps/ctrlProp68.xml"/><Relationship Id="rId2" Type="http://schemas.openxmlformats.org/officeDocument/2006/relationships/drawing" Target="../drawings/drawing3.xml"/><Relationship Id="rId16" Type="http://schemas.openxmlformats.org/officeDocument/2006/relationships/ctrlProp" Target="../ctrlProps/ctrlProp46.xml"/><Relationship Id="rId20" Type="http://schemas.openxmlformats.org/officeDocument/2006/relationships/ctrlProp" Target="../ctrlProps/ctrlProp50.xml"/><Relationship Id="rId29" Type="http://schemas.openxmlformats.org/officeDocument/2006/relationships/ctrlProp" Target="../ctrlProps/ctrlProp59.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trlProp" Target="../ctrlProps/ctrlProp41.xml"/><Relationship Id="rId24" Type="http://schemas.openxmlformats.org/officeDocument/2006/relationships/ctrlProp" Target="../ctrlProps/ctrlProp54.xml"/><Relationship Id="rId32" Type="http://schemas.openxmlformats.org/officeDocument/2006/relationships/ctrlProp" Target="../ctrlProps/ctrlProp62.xml"/><Relationship Id="rId37" Type="http://schemas.openxmlformats.org/officeDocument/2006/relationships/ctrlProp" Target="../ctrlProps/ctrlProp67.xml"/><Relationship Id="rId5" Type="http://schemas.openxmlformats.org/officeDocument/2006/relationships/ctrlProp" Target="../ctrlProps/ctrlProp35.xml"/><Relationship Id="rId15" Type="http://schemas.openxmlformats.org/officeDocument/2006/relationships/ctrlProp" Target="../ctrlProps/ctrlProp45.xml"/><Relationship Id="rId23" Type="http://schemas.openxmlformats.org/officeDocument/2006/relationships/ctrlProp" Target="../ctrlProps/ctrlProp53.xml"/><Relationship Id="rId28" Type="http://schemas.openxmlformats.org/officeDocument/2006/relationships/ctrlProp" Target="../ctrlProps/ctrlProp58.xml"/><Relationship Id="rId36" Type="http://schemas.openxmlformats.org/officeDocument/2006/relationships/ctrlProp" Target="../ctrlProps/ctrlProp66.xml"/><Relationship Id="rId10" Type="http://schemas.openxmlformats.org/officeDocument/2006/relationships/ctrlProp" Target="../ctrlProps/ctrlProp40.xml"/><Relationship Id="rId19" Type="http://schemas.openxmlformats.org/officeDocument/2006/relationships/ctrlProp" Target="../ctrlProps/ctrlProp49.xml"/><Relationship Id="rId31" Type="http://schemas.openxmlformats.org/officeDocument/2006/relationships/ctrlProp" Target="../ctrlProps/ctrlProp61.xml"/><Relationship Id="rId4" Type="http://schemas.openxmlformats.org/officeDocument/2006/relationships/vmlDrawing" Target="../drawings/vmlDrawing4.vml"/><Relationship Id="rId9" Type="http://schemas.openxmlformats.org/officeDocument/2006/relationships/ctrlProp" Target="../ctrlProps/ctrlProp39.xml"/><Relationship Id="rId14" Type="http://schemas.openxmlformats.org/officeDocument/2006/relationships/ctrlProp" Target="../ctrlProps/ctrlProp44.xml"/><Relationship Id="rId22" Type="http://schemas.openxmlformats.org/officeDocument/2006/relationships/ctrlProp" Target="../ctrlProps/ctrlProp52.xml"/><Relationship Id="rId27" Type="http://schemas.openxmlformats.org/officeDocument/2006/relationships/ctrlProp" Target="../ctrlProps/ctrlProp57.xml"/><Relationship Id="rId30" Type="http://schemas.openxmlformats.org/officeDocument/2006/relationships/ctrlProp" Target="../ctrlProps/ctrlProp60.xml"/><Relationship Id="rId35" Type="http://schemas.openxmlformats.org/officeDocument/2006/relationships/ctrlProp" Target="../ctrlProps/ctrlProp6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2.xml"/><Relationship Id="rId13" Type="http://schemas.openxmlformats.org/officeDocument/2006/relationships/ctrlProp" Target="../ctrlProps/ctrlProp77.xml"/><Relationship Id="rId18" Type="http://schemas.openxmlformats.org/officeDocument/2006/relationships/ctrlProp" Target="../ctrlProps/ctrlProp82.xml"/><Relationship Id="rId26" Type="http://schemas.openxmlformats.org/officeDocument/2006/relationships/ctrlProp" Target="../ctrlProps/ctrlProp90.xml"/><Relationship Id="rId3" Type="http://schemas.openxmlformats.org/officeDocument/2006/relationships/vmlDrawing" Target="../drawings/vmlDrawing5.vml"/><Relationship Id="rId21" Type="http://schemas.openxmlformats.org/officeDocument/2006/relationships/ctrlProp" Target="../ctrlProps/ctrlProp85.xml"/><Relationship Id="rId34" Type="http://schemas.openxmlformats.org/officeDocument/2006/relationships/ctrlProp" Target="../ctrlProps/ctrlProp98.xml"/><Relationship Id="rId7" Type="http://schemas.openxmlformats.org/officeDocument/2006/relationships/ctrlProp" Target="../ctrlProps/ctrlProp71.xml"/><Relationship Id="rId12" Type="http://schemas.openxmlformats.org/officeDocument/2006/relationships/ctrlProp" Target="../ctrlProps/ctrlProp76.xml"/><Relationship Id="rId17" Type="http://schemas.openxmlformats.org/officeDocument/2006/relationships/ctrlProp" Target="../ctrlProps/ctrlProp81.xml"/><Relationship Id="rId25" Type="http://schemas.openxmlformats.org/officeDocument/2006/relationships/ctrlProp" Target="../ctrlProps/ctrlProp89.xml"/><Relationship Id="rId33" Type="http://schemas.openxmlformats.org/officeDocument/2006/relationships/ctrlProp" Target="../ctrlProps/ctrlProp97.xml"/><Relationship Id="rId38" Type="http://schemas.openxmlformats.org/officeDocument/2006/relationships/ctrlProp" Target="../ctrlProps/ctrlProp102.xml"/><Relationship Id="rId2" Type="http://schemas.openxmlformats.org/officeDocument/2006/relationships/drawing" Target="../drawings/drawing4.xml"/><Relationship Id="rId16" Type="http://schemas.openxmlformats.org/officeDocument/2006/relationships/ctrlProp" Target="../ctrlProps/ctrlProp80.xml"/><Relationship Id="rId20" Type="http://schemas.openxmlformats.org/officeDocument/2006/relationships/ctrlProp" Target="../ctrlProps/ctrlProp84.xml"/><Relationship Id="rId29" Type="http://schemas.openxmlformats.org/officeDocument/2006/relationships/ctrlProp" Target="../ctrlProps/ctrlProp93.xml"/><Relationship Id="rId1" Type="http://schemas.openxmlformats.org/officeDocument/2006/relationships/printerSettings" Target="../printerSettings/printerSettings7.bin"/><Relationship Id="rId6" Type="http://schemas.openxmlformats.org/officeDocument/2006/relationships/ctrlProp" Target="../ctrlProps/ctrlProp70.xml"/><Relationship Id="rId11" Type="http://schemas.openxmlformats.org/officeDocument/2006/relationships/ctrlProp" Target="../ctrlProps/ctrlProp75.xml"/><Relationship Id="rId24" Type="http://schemas.openxmlformats.org/officeDocument/2006/relationships/ctrlProp" Target="../ctrlProps/ctrlProp88.xml"/><Relationship Id="rId32" Type="http://schemas.openxmlformats.org/officeDocument/2006/relationships/ctrlProp" Target="../ctrlProps/ctrlProp96.xml"/><Relationship Id="rId37" Type="http://schemas.openxmlformats.org/officeDocument/2006/relationships/ctrlProp" Target="../ctrlProps/ctrlProp101.xml"/><Relationship Id="rId5" Type="http://schemas.openxmlformats.org/officeDocument/2006/relationships/ctrlProp" Target="../ctrlProps/ctrlProp69.xml"/><Relationship Id="rId15" Type="http://schemas.openxmlformats.org/officeDocument/2006/relationships/ctrlProp" Target="../ctrlProps/ctrlProp79.xml"/><Relationship Id="rId23" Type="http://schemas.openxmlformats.org/officeDocument/2006/relationships/ctrlProp" Target="../ctrlProps/ctrlProp87.xml"/><Relationship Id="rId28" Type="http://schemas.openxmlformats.org/officeDocument/2006/relationships/ctrlProp" Target="../ctrlProps/ctrlProp92.xml"/><Relationship Id="rId36" Type="http://schemas.openxmlformats.org/officeDocument/2006/relationships/ctrlProp" Target="../ctrlProps/ctrlProp100.xml"/><Relationship Id="rId10" Type="http://schemas.openxmlformats.org/officeDocument/2006/relationships/ctrlProp" Target="../ctrlProps/ctrlProp74.xml"/><Relationship Id="rId19" Type="http://schemas.openxmlformats.org/officeDocument/2006/relationships/ctrlProp" Target="../ctrlProps/ctrlProp83.xml"/><Relationship Id="rId31" Type="http://schemas.openxmlformats.org/officeDocument/2006/relationships/ctrlProp" Target="../ctrlProps/ctrlProp95.xml"/><Relationship Id="rId4" Type="http://schemas.openxmlformats.org/officeDocument/2006/relationships/vmlDrawing" Target="../drawings/vmlDrawing6.vml"/><Relationship Id="rId9" Type="http://schemas.openxmlformats.org/officeDocument/2006/relationships/ctrlProp" Target="../ctrlProps/ctrlProp73.xml"/><Relationship Id="rId14" Type="http://schemas.openxmlformats.org/officeDocument/2006/relationships/ctrlProp" Target="../ctrlProps/ctrlProp78.xml"/><Relationship Id="rId22" Type="http://schemas.openxmlformats.org/officeDocument/2006/relationships/ctrlProp" Target="../ctrlProps/ctrlProp86.xml"/><Relationship Id="rId27" Type="http://schemas.openxmlformats.org/officeDocument/2006/relationships/ctrlProp" Target="../ctrlProps/ctrlProp91.xml"/><Relationship Id="rId30" Type="http://schemas.openxmlformats.org/officeDocument/2006/relationships/ctrlProp" Target="../ctrlProps/ctrlProp94.xml"/><Relationship Id="rId35" Type="http://schemas.openxmlformats.org/officeDocument/2006/relationships/ctrlProp" Target="../ctrlProps/ctrlProp9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06.xml"/><Relationship Id="rId13" Type="http://schemas.openxmlformats.org/officeDocument/2006/relationships/ctrlProp" Target="../ctrlProps/ctrlProp111.xml"/><Relationship Id="rId18" Type="http://schemas.openxmlformats.org/officeDocument/2006/relationships/ctrlProp" Target="../ctrlProps/ctrlProp116.xml"/><Relationship Id="rId26" Type="http://schemas.openxmlformats.org/officeDocument/2006/relationships/ctrlProp" Target="../ctrlProps/ctrlProp124.xml"/><Relationship Id="rId3" Type="http://schemas.openxmlformats.org/officeDocument/2006/relationships/vmlDrawing" Target="../drawings/vmlDrawing7.vml"/><Relationship Id="rId21" Type="http://schemas.openxmlformats.org/officeDocument/2006/relationships/ctrlProp" Target="../ctrlProps/ctrlProp119.xml"/><Relationship Id="rId34" Type="http://schemas.openxmlformats.org/officeDocument/2006/relationships/ctrlProp" Target="../ctrlProps/ctrlProp132.xml"/><Relationship Id="rId7" Type="http://schemas.openxmlformats.org/officeDocument/2006/relationships/ctrlProp" Target="../ctrlProps/ctrlProp105.xml"/><Relationship Id="rId12" Type="http://schemas.openxmlformats.org/officeDocument/2006/relationships/ctrlProp" Target="../ctrlProps/ctrlProp110.xml"/><Relationship Id="rId17" Type="http://schemas.openxmlformats.org/officeDocument/2006/relationships/ctrlProp" Target="../ctrlProps/ctrlProp115.xml"/><Relationship Id="rId25" Type="http://schemas.openxmlformats.org/officeDocument/2006/relationships/ctrlProp" Target="../ctrlProps/ctrlProp123.xml"/><Relationship Id="rId33" Type="http://schemas.openxmlformats.org/officeDocument/2006/relationships/ctrlProp" Target="../ctrlProps/ctrlProp131.xml"/><Relationship Id="rId38" Type="http://schemas.openxmlformats.org/officeDocument/2006/relationships/ctrlProp" Target="../ctrlProps/ctrlProp136.xml"/><Relationship Id="rId2" Type="http://schemas.openxmlformats.org/officeDocument/2006/relationships/drawing" Target="../drawings/drawing5.xml"/><Relationship Id="rId16" Type="http://schemas.openxmlformats.org/officeDocument/2006/relationships/ctrlProp" Target="../ctrlProps/ctrlProp114.xml"/><Relationship Id="rId20" Type="http://schemas.openxmlformats.org/officeDocument/2006/relationships/ctrlProp" Target="../ctrlProps/ctrlProp118.xml"/><Relationship Id="rId29" Type="http://schemas.openxmlformats.org/officeDocument/2006/relationships/ctrlProp" Target="../ctrlProps/ctrlProp127.xml"/><Relationship Id="rId1" Type="http://schemas.openxmlformats.org/officeDocument/2006/relationships/printerSettings" Target="../printerSettings/printerSettings8.bin"/><Relationship Id="rId6" Type="http://schemas.openxmlformats.org/officeDocument/2006/relationships/ctrlProp" Target="../ctrlProps/ctrlProp104.xml"/><Relationship Id="rId11" Type="http://schemas.openxmlformats.org/officeDocument/2006/relationships/ctrlProp" Target="../ctrlProps/ctrlProp109.xml"/><Relationship Id="rId24" Type="http://schemas.openxmlformats.org/officeDocument/2006/relationships/ctrlProp" Target="../ctrlProps/ctrlProp122.xml"/><Relationship Id="rId32" Type="http://schemas.openxmlformats.org/officeDocument/2006/relationships/ctrlProp" Target="../ctrlProps/ctrlProp130.xml"/><Relationship Id="rId37" Type="http://schemas.openxmlformats.org/officeDocument/2006/relationships/ctrlProp" Target="../ctrlProps/ctrlProp135.xml"/><Relationship Id="rId5" Type="http://schemas.openxmlformats.org/officeDocument/2006/relationships/ctrlProp" Target="../ctrlProps/ctrlProp103.xml"/><Relationship Id="rId15" Type="http://schemas.openxmlformats.org/officeDocument/2006/relationships/ctrlProp" Target="../ctrlProps/ctrlProp113.xml"/><Relationship Id="rId23" Type="http://schemas.openxmlformats.org/officeDocument/2006/relationships/ctrlProp" Target="../ctrlProps/ctrlProp121.xml"/><Relationship Id="rId28" Type="http://schemas.openxmlformats.org/officeDocument/2006/relationships/ctrlProp" Target="../ctrlProps/ctrlProp126.xml"/><Relationship Id="rId36" Type="http://schemas.openxmlformats.org/officeDocument/2006/relationships/ctrlProp" Target="../ctrlProps/ctrlProp134.xml"/><Relationship Id="rId10" Type="http://schemas.openxmlformats.org/officeDocument/2006/relationships/ctrlProp" Target="../ctrlProps/ctrlProp108.xml"/><Relationship Id="rId19" Type="http://schemas.openxmlformats.org/officeDocument/2006/relationships/ctrlProp" Target="../ctrlProps/ctrlProp117.xml"/><Relationship Id="rId31" Type="http://schemas.openxmlformats.org/officeDocument/2006/relationships/ctrlProp" Target="../ctrlProps/ctrlProp129.xml"/><Relationship Id="rId4" Type="http://schemas.openxmlformats.org/officeDocument/2006/relationships/vmlDrawing" Target="../drawings/vmlDrawing8.vml"/><Relationship Id="rId9" Type="http://schemas.openxmlformats.org/officeDocument/2006/relationships/ctrlProp" Target="../ctrlProps/ctrlProp107.xml"/><Relationship Id="rId14" Type="http://schemas.openxmlformats.org/officeDocument/2006/relationships/ctrlProp" Target="../ctrlProps/ctrlProp112.xml"/><Relationship Id="rId22" Type="http://schemas.openxmlformats.org/officeDocument/2006/relationships/ctrlProp" Target="../ctrlProps/ctrlProp120.xml"/><Relationship Id="rId27" Type="http://schemas.openxmlformats.org/officeDocument/2006/relationships/ctrlProp" Target="../ctrlProps/ctrlProp125.xml"/><Relationship Id="rId30" Type="http://schemas.openxmlformats.org/officeDocument/2006/relationships/ctrlProp" Target="../ctrlProps/ctrlProp128.xml"/><Relationship Id="rId35" Type="http://schemas.openxmlformats.org/officeDocument/2006/relationships/ctrlProp" Target="../ctrlProps/ctrlProp133.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AF0917"/>
  </sheetPr>
  <dimension ref="A1:K12"/>
  <sheetViews>
    <sheetView showGridLines="0" showRowColHeaders="0" tabSelected="1" showRuler="0" zoomScaleNormal="100" workbookViewId="0">
      <selection activeCell="H1" sqref="H1:J1"/>
    </sheetView>
  </sheetViews>
  <sheetFormatPr baseColWidth="10" defaultColWidth="0" defaultRowHeight="14.25" zeroHeight="1" x14ac:dyDescent="0.2"/>
  <cols>
    <col min="1" max="1" width="11.25" customWidth="1"/>
    <col min="2" max="10" width="11.375" customWidth="1"/>
    <col min="11" max="11" width="11.25" customWidth="1"/>
    <col min="12" max="16384" width="11.25" hidden="1"/>
  </cols>
  <sheetData>
    <row r="1" spans="1:11" ht="30" customHeight="1" thickBot="1" x14ac:dyDescent="0.25">
      <c r="A1" s="65"/>
      <c r="B1" s="65"/>
      <c r="C1" s="65"/>
      <c r="D1" s="65"/>
      <c r="E1" s="65"/>
      <c r="F1" s="65"/>
      <c r="G1" s="65"/>
      <c r="H1" s="478" t="s">
        <v>666</v>
      </c>
      <c r="I1" s="478"/>
      <c r="J1" s="478"/>
      <c r="K1" s="69"/>
    </row>
    <row r="2" spans="1:11" ht="47.25" thickTop="1" thickBot="1" x14ac:dyDescent="0.25">
      <c r="A2" s="65"/>
      <c r="B2" s="479" t="s">
        <v>365</v>
      </c>
      <c r="C2" s="480"/>
      <c r="D2" s="480"/>
      <c r="E2" s="480"/>
      <c r="F2" s="480"/>
      <c r="G2" s="480"/>
      <c r="H2" s="480"/>
      <c r="I2" s="480"/>
      <c r="J2" s="481"/>
      <c r="K2" s="65"/>
    </row>
    <row r="3" spans="1:11" ht="99.75" customHeight="1" thickTop="1" x14ac:dyDescent="0.2">
      <c r="A3" s="66"/>
      <c r="B3" s="482" t="s">
        <v>665</v>
      </c>
      <c r="C3" s="482"/>
      <c r="D3" s="482"/>
      <c r="E3" s="482"/>
      <c r="F3" s="482"/>
      <c r="G3" s="482"/>
      <c r="H3" s="482"/>
      <c r="I3" s="482"/>
      <c r="J3" s="482"/>
      <c r="K3" s="65"/>
    </row>
    <row r="4" spans="1:11" ht="74.25" customHeight="1" thickBot="1" x14ac:dyDescent="0.25">
      <c r="A4" s="66"/>
      <c r="B4" s="482" t="s">
        <v>621</v>
      </c>
      <c r="C4" s="482"/>
      <c r="D4" s="482"/>
      <c r="E4" s="482"/>
      <c r="F4" s="482"/>
      <c r="G4" s="482"/>
      <c r="H4" s="482"/>
      <c r="I4" s="482"/>
      <c r="J4" s="482"/>
      <c r="K4" s="65"/>
    </row>
    <row r="5" spans="1:11" ht="60" customHeight="1" thickTop="1" thickBot="1" x14ac:dyDescent="0.25">
      <c r="A5" s="67"/>
      <c r="B5" s="483" t="s">
        <v>366</v>
      </c>
      <c r="C5" s="484"/>
      <c r="D5" s="484"/>
      <c r="E5" s="484"/>
      <c r="F5" s="484"/>
      <c r="G5" s="484"/>
      <c r="H5" s="484"/>
      <c r="I5" s="484"/>
      <c r="J5" s="485"/>
      <c r="K5" s="65"/>
    </row>
    <row r="6" spans="1:11" ht="48" customHeight="1" thickTop="1" x14ac:dyDescent="0.2">
      <c r="A6" s="67"/>
      <c r="B6" s="482" t="s">
        <v>622</v>
      </c>
      <c r="C6" s="482"/>
      <c r="D6" s="482"/>
      <c r="E6" s="482"/>
      <c r="F6" s="482"/>
      <c r="G6" s="482"/>
      <c r="H6" s="482"/>
      <c r="I6" s="482"/>
      <c r="J6" s="482"/>
      <c r="K6" s="65"/>
    </row>
    <row r="7" spans="1:11" ht="15.75" customHeight="1" x14ac:dyDescent="0.2">
      <c r="A7" s="67"/>
      <c r="B7" s="482"/>
      <c r="C7" s="482"/>
      <c r="D7" s="482"/>
      <c r="E7" s="68"/>
      <c r="F7" s="68"/>
      <c r="G7" s="68"/>
      <c r="H7" s="68"/>
      <c r="I7" s="68"/>
      <c r="J7" s="68"/>
      <c r="K7" s="65"/>
    </row>
    <row r="8" spans="1:11" ht="56.25" customHeight="1" x14ac:dyDescent="0.2">
      <c r="A8" s="67"/>
      <c r="B8" s="486" t="s">
        <v>616</v>
      </c>
      <c r="C8" s="486"/>
      <c r="D8" s="486"/>
      <c r="E8" s="486" t="s">
        <v>617</v>
      </c>
      <c r="F8" s="486"/>
      <c r="G8" s="486"/>
      <c r="H8" s="413"/>
      <c r="I8" s="413"/>
      <c r="J8" s="413"/>
      <c r="K8" s="65"/>
    </row>
    <row r="9" spans="1:11" ht="14.25" customHeight="1" x14ac:dyDescent="0.2">
      <c r="A9" s="67"/>
      <c r="B9" s="487" t="s">
        <v>619</v>
      </c>
      <c r="C9" s="487"/>
      <c r="D9" s="487"/>
      <c r="E9" s="487" t="s">
        <v>618</v>
      </c>
      <c r="F9" s="487"/>
      <c r="G9" s="487"/>
      <c r="H9" s="413"/>
      <c r="I9" s="413"/>
      <c r="J9" s="413"/>
      <c r="K9" s="65"/>
    </row>
    <row r="10" spans="1:11" x14ac:dyDescent="0.2">
      <c r="A10" s="67"/>
      <c r="B10" s="487" t="s">
        <v>620</v>
      </c>
      <c r="C10" s="488"/>
      <c r="D10" s="488"/>
      <c r="E10" s="477"/>
      <c r="F10" s="477"/>
      <c r="G10" s="477"/>
      <c r="H10" s="413"/>
      <c r="I10" s="413"/>
      <c r="J10" s="413"/>
      <c r="K10" s="65"/>
    </row>
    <row r="11" spans="1:11" ht="14.25" customHeight="1" x14ac:dyDescent="0.2">
      <c r="A11" s="67"/>
      <c r="B11" s="477" t="s">
        <v>615</v>
      </c>
      <c r="C11" s="477"/>
      <c r="D11" s="477"/>
      <c r="E11" s="477"/>
      <c r="F11" s="477"/>
      <c r="G11" s="477"/>
      <c r="H11" s="413"/>
      <c r="I11" s="413"/>
      <c r="J11" s="413"/>
      <c r="K11" s="65"/>
    </row>
    <row r="12" spans="1:11" ht="30" customHeight="1" x14ac:dyDescent="0.2">
      <c r="A12" s="65"/>
      <c r="B12" s="65"/>
      <c r="C12" s="65"/>
      <c r="D12" s="65"/>
      <c r="E12" s="65"/>
      <c r="F12" s="65"/>
      <c r="G12" s="65"/>
      <c r="H12" s="65"/>
      <c r="I12" s="65"/>
      <c r="J12" s="65"/>
      <c r="K12" s="65"/>
    </row>
  </sheetData>
  <sheetProtection selectLockedCells="1" selectUnlockedCells="1"/>
  <customSheetViews>
    <customSheetView guid="{D9E11D92-C3F6-400D-9CCD-0BAB3C21C6A8}" scale="75" hiddenRows="1" hiddenColumns="1">
      <selection activeCell="B3" sqref="B3:J3"/>
      <pageMargins left="0.39370078740157483" right="0.39370078740157483" top="0.39370078740157483" bottom="0.39370078740157483" header="0.31496062992125984" footer="0.31496062992125984"/>
      <printOptions horizontalCentered="1"/>
      <pageSetup paperSize="9" orientation="landscape" r:id="rId1"/>
    </customSheetView>
  </customSheetViews>
  <mergeCells count="15">
    <mergeCell ref="E10:G10"/>
    <mergeCell ref="E11:G11"/>
    <mergeCell ref="H1:J1"/>
    <mergeCell ref="B2:J2"/>
    <mergeCell ref="B3:J3"/>
    <mergeCell ref="B4:J4"/>
    <mergeCell ref="B5:J5"/>
    <mergeCell ref="B6:J6"/>
    <mergeCell ref="B7:D7"/>
    <mergeCell ref="B8:D8"/>
    <mergeCell ref="B11:D11"/>
    <mergeCell ref="E8:G8"/>
    <mergeCell ref="E9:G9"/>
    <mergeCell ref="B9:D9"/>
    <mergeCell ref="B10:D10"/>
  </mergeCells>
  <hyperlinks>
    <hyperlink ref="B10" r:id="rId2" xr:uid="{00000000-0004-0000-0000-000000000000}"/>
    <hyperlink ref="B9" r:id="rId3" xr:uid="{00000000-0004-0000-0000-000001000000}"/>
    <hyperlink ref="B9:D9" r:id="rId4" display="www.wienerberger.de" xr:uid="{00000000-0004-0000-0000-000002000000}"/>
    <hyperlink ref="E9" r:id="rId5" xr:uid="{00000000-0004-0000-0000-000003000000}"/>
  </hyperlinks>
  <printOptions horizontalCentered="1"/>
  <pageMargins left="0.39370078740157483" right="0.39370078740157483" top="0.39370078740157483" bottom="0.39370078740157483" header="0.31496062992125984" footer="0.31496062992125984"/>
  <pageSetup paperSize="9" orientation="landscape"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8">
    <tabColor rgb="FF92D050"/>
  </sheetPr>
  <dimension ref="K1:AE33"/>
  <sheetViews>
    <sheetView topLeftCell="F1" zoomScaleNormal="100" workbookViewId="0">
      <selection activeCell="L24" sqref="L24:P24"/>
    </sheetView>
  </sheetViews>
  <sheetFormatPr baseColWidth="10" defaultColWidth="11" defaultRowHeight="12.75" x14ac:dyDescent="0.2"/>
  <cols>
    <col min="1" max="10" width="1.5" style="4" customWidth="1"/>
    <col min="11" max="11" width="31" style="4" customWidth="1"/>
    <col min="12" max="12" width="3.875" style="4" customWidth="1"/>
    <col min="13" max="13" width="4.5" style="4" customWidth="1"/>
    <col min="14" max="14" width="2.75" style="4" customWidth="1"/>
    <col min="15" max="15" width="31" style="4" customWidth="1"/>
    <col min="16" max="16" width="3.5" style="4" customWidth="1"/>
    <col min="17" max="17" width="4.5" style="4" customWidth="1"/>
    <col min="18" max="18" width="2.75" style="4" customWidth="1"/>
    <col min="19" max="19" width="31" style="4" customWidth="1"/>
    <col min="20" max="20" width="3.875" style="4" customWidth="1"/>
    <col min="21" max="21" width="4.5" style="4" customWidth="1"/>
    <col min="22" max="22" width="2.75" style="4" customWidth="1"/>
    <col min="23" max="23" width="31" style="4" customWidth="1"/>
    <col min="24" max="24" width="3.875" style="4" customWidth="1"/>
    <col min="25" max="26" width="2.75" style="4" customWidth="1"/>
    <col min="27" max="27" width="14.875" style="4" bestFit="1" customWidth="1"/>
    <col min="28" max="28" width="3.125" style="4" bestFit="1" customWidth="1"/>
    <col min="29" max="29" width="2.75" style="4" customWidth="1"/>
    <col min="30" max="30" width="13.375" style="4" customWidth="1"/>
    <col min="31" max="31" width="2.5" style="4" customWidth="1"/>
    <col min="32" max="34" width="10" style="4"/>
    <col min="35" max="35" width="2.75" style="4" customWidth="1"/>
    <col min="36" max="16384" width="11" style="4"/>
  </cols>
  <sheetData>
    <row r="1" spans="11:30" ht="8.1" customHeight="1" x14ac:dyDescent="0.2"/>
    <row r="4" spans="11:30" ht="8.1" customHeight="1" x14ac:dyDescent="0.2"/>
    <row r="5" spans="11:30" ht="8.1" customHeight="1" x14ac:dyDescent="0.2"/>
    <row r="6" spans="11:30" ht="8.1" customHeight="1" x14ac:dyDescent="0.2"/>
    <row r="7" spans="11:30" ht="8.1" customHeight="1" x14ac:dyDescent="0.2"/>
    <row r="8" spans="11:30" x14ac:dyDescent="0.2">
      <c r="K8" s="35">
        <f>COUNTA(rL1.Wall01)</f>
        <v>2</v>
      </c>
      <c r="O8" s="5">
        <f>COUNTA(rL1.Wall02)</f>
        <v>2</v>
      </c>
      <c r="S8" s="5">
        <f>COUNTA(rL1.Wall03)</f>
        <v>2</v>
      </c>
      <c r="W8" s="5">
        <f>COUNTA(rL1.FixedVerges)</f>
        <v>3</v>
      </c>
    </row>
    <row r="9" spans="11:30" x14ac:dyDescent="0.2">
      <c r="K9" s="5">
        <f>COUNTA(rL1.Slab01)</f>
        <v>4</v>
      </c>
      <c r="O9" s="5">
        <f>COUNTA(rL1.Slab02)</f>
        <v>3</v>
      </c>
      <c r="S9" s="5">
        <f>COUNTA(rL1.Slab03)</f>
        <v>5</v>
      </c>
      <c r="W9" s="5">
        <f>COUNTA(rL1.Slab04)</f>
        <v>4</v>
      </c>
      <c r="AA9" s="5">
        <f>COUNTA(rL1.SlabWooden)</f>
        <v>2</v>
      </c>
      <c r="AD9" s="5">
        <f>COUNTA(rL1.SlabBearing)</f>
        <v>2</v>
      </c>
    </row>
    <row r="10" spans="11:30" ht="8.1" customHeight="1" x14ac:dyDescent="0.2"/>
    <row r="11" spans="11:30" x14ac:dyDescent="0.2">
      <c r="K11" s="59" t="s">
        <v>8</v>
      </c>
      <c r="L11" s="46" t="s">
        <v>49</v>
      </c>
      <c r="M11" s="46" t="s">
        <v>333</v>
      </c>
      <c r="N11" s="7"/>
      <c r="O11" s="59" t="s">
        <v>11</v>
      </c>
      <c r="P11" s="46" t="s">
        <v>49</v>
      </c>
      <c r="Q11" s="46" t="s">
        <v>333</v>
      </c>
      <c r="R11" s="7"/>
      <c r="S11" s="59" t="s">
        <v>12</v>
      </c>
      <c r="T11" s="46" t="s">
        <v>49</v>
      </c>
      <c r="U11" s="46" t="s">
        <v>333</v>
      </c>
      <c r="V11" s="7"/>
      <c r="W11" s="59" t="s">
        <v>184</v>
      </c>
      <c r="X11" s="46" t="s">
        <v>49</v>
      </c>
      <c r="Y11" s="7"/>
      <c r="Z11" s="7"/>
      <c r="AA11" s="7"/>
      <c r="AB11" s="7"/>
      <c r="AC11" s="7"/>
    </row>
    <row r="12" spans="11:30" x14ac:dyDescent="0.2">
      <c r="K12" s="47" t="s">
        <v>342</v>
      </c>
      <c r="L12" s="47">
        <v>3</v>
      </c>
      <c r="M12" s="48">
        <v>1</v>
      </c>
      <c r="N12" s="7"/>
      <c r="O12" s="47" t="s">
        <v>342</v>
      </c>
      <c r="P12" s="47">
        <v>3</v>
      </c>
      <c r="Q12" s="48">
        <v>1</v>
      </c>
      <c r="R12" s="7"/>
      <c r="S12" s="47" t="s">
        <v>342</v>
      </c>
      <c r="T12" s="47">
        <v>3</v>
      </c>
      <c r="U12" s="48">
        <v>1</v>
      </c>
      <c r="V12" s="7"/>
      <c r="W12" s="47" t="s">
        <v>334</v>
      </c>
      <c r="X12" s="47">
        <v>0</v>
      </c>
      <c r="Y12" s="7"/>
      <c r="Z12" s="7"/>
      <c r="AA12" s="7"/>
      <c r="AB12" s="7"/>
      <c r="AC12" s="7"/>
    </row>
    <row r="13" spans="11:30" x14ac:dyDescent="0.2">
      <c r="K13" s="49" t="s">
        <v>339</v>
      </c>
      <c r="L13" s="49">
        <v>4</v>
      </c>
      <c r="M13" s="50">
        <v>0.75</v>
      </c>
      <c r="N13" s="7"/>
      <c r="O13" s="49" t="s">
        <v>339</v>
      </c>
      <c r="P13" s="49">
        <v>4</v>
      </c>
      <c r="Q13" s="50">
        <v>0.75</v>
      </c>
      <c r="R13" s="7"/>
      <c r="S13" s="49" t="s">
        <v>339</v>
      </c>
      <c r="T13" s="49">
        <v>4</v>
      </c>
      <c r="U13" s="50">
        <v>0.75</v>
      </c>
      <c r="V13" s="7"/>
      <c r="W13" s="49" t="s">
        <v>335</v>
      </c>
      <c r="X13" s="49">
        <v>1</v>
      </c>
      <c r="Y13" s="7"/>
      <c r="Z13" s="7"/>
      <c r="AA13" s="7"/>
      <c r="AB13" s="7"/>
      <c r="AC13" s="7"/>
    </row>
    <row r="14" spans="11:30" x14ac:dyDescent="0.2">
      <c r="K14" s="49"/>
      <c r="L14" s="49"/>
      <c r="M14" s="50"/>
      <c r="N14" s="7"/>
      <c r="O14" s="49"/>
      <c r="P14" s="49"/>
      <c r="Q14" s="50"/>
      <c r="R14" s="7"/>
      <c r="S14" s="49"/>
      <c r="T14" s="49"/>
      <c r="U14" s="50"/>
      <c r="V14" s="7"/>
      <c r="W14" s="49" t="s">
        <v>336</v>
      </c>
      <c r="X14" s="49">
        <v>2</v>
      </c>
      <c r="Y14" s="7"/>
      <c r="Z14" s="7"/>
      <c r="AA14" s="7"/>
      <c r="AB14" s="7"/>
      <c r="AC14" s="7"/>
    </row>
    <row r="15" spans="11:30" x14ac:dyDescent="0.2">
      <c r="K15" s="49"/>
      <c r="L15" s="49"/>
      <c r="M15" s="49"/>
      <c r="N15" s="7"/>
      <c r="O15" s="49"/>
      <c r="P15" s="49"/>
      <c r="Q15" s="49"/>
      <c r="R15" s="7"/>
      <c r="S15" s="49"/>
      <c r="T15" s="49"/>
      <c r="U15" s="49"/>
      <c r="V15" s="7"/>
      <c r="W15" s="49"/>
      <c r="X15" s="49"/>
      <c r="Y15" s="7"/>
      <c r="Z15" s="7"/>
      <c r="AA15" s="7"/>
      <c r="AB15" s="7"/>
      <c r="AC15" s="7"/>
    </row>
    <row r="16" spans="11:30" x14ac:dyDescent="0.2">
      <c r="K16" s="49"/>
      <c r="L16" s="49"/>
      <c r="M16" s="49"/>
      <c r="N16" s="7"/>
      <c r="O16" s="49"/>
      <c r="P16" s="49"/>
      <c r="Q16" s="49"/>
      <c r="R16" s="7"/>
      <c r="S16" s="49"/>
      <c r="T16" s="49"/>
      <c r="U16" s="49"/>
      <c r="V16" s="7"/>
      <c r="W16" s="49"/>
      <c r="X16" s="49"/>
      <c r="Y16" s="7"/>
      <c r="Z16" s="7"/>
      <c r="AA16" s="7"/>
      <c r="AB16" s="7"/>
      <c r="AC16" s="7"/>
    </row>
    <row r="17" spans="11:31" x14ac:dyDescent="0.2">
      <c r="K17" s="49"/>
      <c r="L17" s="49"/>
      <c r="M17" s="49"/>
      <c r="N17" s="7"/>
      <c r="O17" s="49"/>
      <c r="P17" s="49"/>
      <c r="Q17" s="49"/>
      <c r="R17" s="7"/>
      <c r="S17" s="49"/>
      <c r="T17" s="49"/>
      <c r="U17" s="49"/>
      <c r="V17" s="7"/>
      <c r="W17" s="49"/>
      <c r="X17" s="49"/>
      <c r="Y17" s="7"/>
      <c r="Z17" s="7"/>
      <c r="AA17" s="7"/>
      <c r="AB17" s="7"/>
      <c r="AC17" s="7"/>
    </row>
    <row r="18" spans="11:31" x14ac:dyDescent="0.2">
      <c r="K18" s="49"/>
      <c r="L18" s="49"/>
      <c r="M18" s="49"/>
      <c r="N18" s="7"/>
      <c r="O18" s="49"/>
      <c r="P18" s="49"/>
      <c r="Q18" s="49"/>
      <c r="R18" s="7"/>
      <c r="S18" s="49"/>
      <c r="T18" s="49"/>
      <c r="U18" s="49"/>
      <c r="V18" s="7"/>
      <c r="W18" s="49"/>
      <c r="X18" s="49"/>
      <c r="Y18" s="7"/>
      <c r="Z18" s="7"/>
      <c r="AA18" s="7"/>
      <c r="AB18" s="7"/>
      <c r="AC18" s="7"/>
    </row>
    <row r="19" spans="11:31" x14ac:dyDescent="0.2">
      <c r="K19" s="49"/>
      <c r="L19" s="49"/>
      <c r="M19" s="49"/>
      <c r="N19" s="7"/>
      <c r="O19" s="49"/>
      <c r="P19" s="49"/>
      <c r="Q19" s="49"/>
      <c r="R19" s="7"/>
      <c r="S19" s="49"/>
      <c r="T19" s="49"/>
      <c r="U19" s="49"/>
      <c r="V19" s="7"/>
      <c r="W19" s="49"/>
      <c r="X19" s="49"/>
      <c r="Y19" s="7"/>
      <c r="Z19" s="7"/>
      <c r="AA19" s="7"/>
      <c r="AB19" s="7"/>
      <c r="AC19" s="7"/>
    </row>
    <row r="20" spans="11:31" x14ac:dyDescent="0.2">
      <c r="K20" s="49"/>
      <c r="L20" s="49"/>
      <c r="M20" s="49"/>
      <c r="N20" s="7"/>
      <c r="O20" s="49"/>
      <c r="P20" s="49"/>
      <c r="Q20" s="49"/>
      <c r="R20" s="7"/>
      <c r="S20" s="49"/>
      <c r="T20" s="49"/>
      <c r="U20" s="49"/>
      <c r="V20" s="7"/>
      <c r="W20" s="49"/>
      <c r="X20" s="49"/>
      <c r="Y20" s="7"/>
      <c r="Z20" s="7"/>
      <c r="AA20" s="7"/>
      <c r="AB20" s="7"/>
      <c r="AC20" s="7"/>
    </row>
    <row r="21" spans="11:31" x14ac:dyDescent="0.2">
      <c r="K21" s="51"/>
      <c r="L21" s="51"/>
      <c r="M21" s="51"/>
      <c r="N21" s="7"/>
      <c r="O21" s="51"/>
      <c r="P21" s="51"/>
      <c r="Q21" s="51"/>
      <c r="R21" s="7"/>
      <c r="S21" s="51"/>
      <c r="T21" s="51"/>
      <c r="U21" s="51"/>
      <c r="V21" s="7"/>
      <c r="W21" s="51"/>
      <c r="X21" s="51"/>
      <c r="Y21" s="7"/>
      <c r="Z21" s="7"/>
      <c r="AA21" s="7"/>
      <c r="AB21" s="7"/>
      <c r="AC21" s="7"/>
    </row>
    <row r="22" spans="11:31" x14ac:dyDescent="0.2">
      <c r="K22" s="7"/>
      <c r="L22" s="7"/>
      <c r="M22" s="7"/>
      <c r="N22" s="7"/>
      <c r="O22" s="7"/>
      <c r="P22" s="7"/>
      <c r="Q22" s="7"/>
      <c r="R22" s="7"/>
      <c r="S22" s="7"/>
      <c r="T22" s="7"/>
      <c r="U22" s="7"/>
      <c r="V22" s="7"/>
      <c r="W22" s="7"/>
      <c r="X22" s="7"/>
      <c r="Y22" s="7"/>
      <c r="Z22" s="7"/>
      <c r="AA22" s="7"/>
      <c r="AB22" s="7"/>
      <c r="AC22" s="7"/>
      <c r="AD22" s="26"/>
    </row>
    <row r="23" spans="11:31" x14ac:dyDescent="0.2">
      <c r="K23" s="59" t="s">
        <v>13</v>
      </c>
      <c r="L23" s="46" t="s">
        <v>49</v>
      </c>
      <c r="M23" s="7"/>
      <c r="N23" s="7"/>
      <c r="O23" s="59" t="s">
        <v>14</v>
      </c>
      <c r="P23" s="46" t="s">
        <v>49</v>
      </c>
      <c r="Q23" s="7"/>
      <c r="R23" s="7"/>
      <c r="S23" s="59" t="s">
        <v>15</v>
      </c>
      <c r="T23" s="46" t="s">
        <v>49</v>
      </c>
      <c r="U23" s="7"/>
      <c r="V23" s="7"/>
      <c r="W23" s="59" t="s">
        <v>16</v>
      </c>
      <c r="X23" s="46" t="s">
        <v>49</v>
      </c>
      <c r="Y23" s="7"/>
      <c r="Z23" s="7"/>
      <c r="AA23" s="59" t="s">
        <v>183</v>
      </c>
      <c r="AB23" s="46" t="s">
        <v>49</v>
      </c>
      <c r="AC23" s="52"/>
      <c r="AD23" s="59" t="s">
        <v>32</v>
      </c>
      <c r="AE23" s="46" t="s">
        <v>49</v>
      </c>
    </row>
    <row r="24" spans="11:31" x14ac:dyDescent="0.2">
      <c r="K24" s="47" t="s">
        <v>337</v>
      </c>
      <c r="L24" s="53">
        <v>1</v>
      </c>
      <c r="M24" s="7"/>
      <c r="N24" s="7"/>
      <c r="O24" s="47" t="s">
        <v>337</v>
      </c>
      <c r="P24" s="53">
        <v>1</v>
      </c>
      <c r="Q24" s="7"/>
      <c r="R24" s="7"/>
      <c r="S24" s="47" t="s">
        <v>337</v>
      </c>
      <c r="T24" s="53">
        <v>1</v>
      </c>
      <c r="U24" s="7"/>
      <c r="V24" s="7"/>
      <c r="W24" s="47" t="s">
        <v>337</v>
      </c>
      <c r="X24" s="53">
        <v>1</v>
      </c>
      <c r="Y24" s="7"/>
      <c r="Z24" s="7"/>
      <c r="AA24" s="47" t="s">
        <v>338</v>
      </c>
      <c r="AB24" s="53">
        <v>1</v>
      </c>
      <c r="AC24" s="13"/>
      <c r="AD24" s="47" t="s">
        <v>339</v>
      </c>
      <c r="AE24" s="47">
        <v>4</v>
      </c>
    </row>
    <row r="25" spans="11:31" x14ac:dyDescent="0.2">
      <c r="K25" s="49" t="s">
        <v>340</v>
      </c>
      <c r="L25" s="54">
        <v>1.5</v>
      </c>
      <c r="M25" s="7"/>
      <c r="N25" s="7"/>
      <c r="O25" s="49" t="s">
        <v>340</v>
      </c>
      <c r="P25" s="54">
        <v>1.5</v>
      </c>
      <c r="Q25" s="7"/>
      <c r="R25" s="7"/>
      <c r="S25" s="49" t="s">
        <v>340</v>
      </c>
      <c r="T25" s="54">
        <v>1.5</v>
      </c>
      <c r="U25" s="7"/>
      <c r="V25" s="7"/>
      <c r="W25" s="49" t="s">
        <v>340</v>
      </c>
      <c r="X25" s="54">
        <v>1.5</v>
      </c>
      <c r="Y25" s="7"/>
      <c r="Z25" s="7"/>
      <c r="AA25" s="49" t="s">
        <v>341</v>
      </c>
      <c r="AB25" s="54" t="s">
        <v>76</v>
      </c>
      <c r="AC25" s="13"/>
      <c r="AD25" s="49" t="s">
        <v>342</v>
      </c>
      <c r="AE25" s="49">
        <v>3</v>
      </c>
    </row>
    <row r="26" spans="11:31" x14ac:dyDescent="0.2">
      <c r="K26" s="49" t="s">
        <v>343</v>
      </c>
      <c r="L26" s="55" t="s">
        <v>76</v>
      </c>
      <c r="M26" s="7"/>
      <c r="N26" s="7"/>
      <c r="O26" s="49" t="s">
        <v>338</v>
      </c>
      <c r="P26" s="49">
        <v>1</v>
      </c>
      <c r="Q26" s="7"/>
      <c r="R26" s="7"/>
      <c r="S26" s="49" t="s">
        <v>343</v>
      </c>
      <c r="T26" s="55" t="s">
        <v>76</v>
      </c>
      <c r="U26" s="7"/>
      <c r="V26" s="7"/>
      <c r="W26" s="49" t="s">
        <v>344</v>
      </c>
      <c r="X26" s="55">
        <v>1</v>
      </c>
      <c r="Y26" s="7"/>
      <c r="Z26" s="7"/>
      <c r="AA26" s="49"/>
      <c r="AB26" s="55"/>
      <c r="AC26" s="13"/>
      <c r="AD26" s="49"/>
      <c r="AE26" s="49"/>
    </row>
    <row r="27" spans="11:31" x14ac:dyDescent="0.2">
      <c r="K27" s="49" t="s">
        <v>338</v>
      </c>
      <c r="L27" s="49">
        <v>1</v>
      </c>
      <c r="M27" s="7"/>
      <c r="N27" s="7"/>
      <c r="O27" s="49"/>
      <c r="P27" s="49"/>
      <c r="Q27" s="7"/>
      <c r="R27" s="7"/>
      <c r="S27" s="49" t="s">
        <v>344</v>
      </c>
      <c r="T27" s="55">
        <v>1</v>
      </c>
      <c r="U27" s="7"/>
      <c r="V27" s="7"/>
      <c r="W27" s="49" t="s">
        <v>341</v>
      </c>
      <c r="X27" s="55">
        <v>0</v>
      </c>
      <c r="Y27" s="7"/>
      <c r="Z27" s="7"/>
      <c r="AA27" s="49"/>
      <c r="AB27" s="55"/>
      <c r="AC27" s="13"/>
      <c r="AD27" s="49"/>
      <c r="AE27" s="49"/>
    </row>
    <row r="28" spans="11:31" x14ac:dyDescent="0.2">
      <c r="K28" s="49"/>
      <c r="L28" s="49"/>
      <c r="M28" s="7"/>
      <c r="N28" s="7"/>
      <c r="O28" s="49"/>
      <c r="P28" s="49"/>
      <c r="Q28" s="7"/>
      <c r="R28" s="7"/>
      <c r="S28" s="49" t="s">
        <v>341</v>
      </c>
      <c r="T28" s="55">
        <v>0</v>
      </c>
      <c r="U28" s="7"/>
      <c r="V28" s="7"/>
      <c r="W28" s="49"/>
      <c r="X28" s="49"/>
      <c r="Y28" s="7"/>
      <c r="Z28" s="7"/>
      <c r="AA28" s="49"/>
      <c r="AB28" s="49"/>
      <c r="AC28" s="13"/>
      <c r="AD28" s="49"/>
      <c r="AE28" s="49"/>
    </row>
    <row r="29" spans="11:31" x14ac:dyDescent="0.2">
      <c r="K29" s="49"/>
      <c r="L29" s="49"/>
      <c r="M29" s="7"/>
      <c r="N29" s="7"/>
      <c r="O29" s="49"/>
      <c r="P29" s="49"/>
      <c r="Q29" s="7"/>
      <c r="R29" s="7"/>
      <c r="S29" s="49"/>
      <c r="T29" s="49"/>
      <c r="U29" s="7"/>
      <c r="V29" s="7"/>
      <c r="W29" s="49"/>
      <c r="X29" s="49"/>
      <c r="Y29" s="7"/>
      <c r="Z29" s="7"/>
      <c r="AA29" s="49"/>
      <c r="AB29" s="49"/>
      <c r="AC29" s="13"/>
      <c r="AD29" s="49"/>
      <c r="AE29" s="49"/>
    </row>
    <row r="30" spans="11:31" x14ac:dyDescent="0.2">
      <c r="K30" s="49"/>
      <c r="L30" s="49"/>
      <c r="M30" s="7"/>
      <c r="N30" s="7"/>
      <c r="O30" s="49"/>
      <c r="P30" s="49"/>
      <c r="Q30" s="7"/>
      <c r="R30" s="7"/>
      <c r="S30" s="49"/>
      <c r="T30" s="49"/>
      <c r="U30" s="7"/>
      <c r="V30" s="7"/>
      <c r="W30" s="49"/>
      <c r="X30" s="49"/>
      <c r="Y30" s="7"/>
      <c r="Z30" s="7"/>
      <c r="AA30" s="49"/>
      <c r="AB30" s="49"/>
      <c r="AC30" s="13"/>
      <c r="AD30" s="49"/>
      <c r="AE30" s="49"/>
    </row>
    <row r="31" spans="11:31" x14ac:dyDescent="0.2">
      <c r="K31" s="49"/>
      <c r="L31" s="49"/>
      <c r="M31" s="7"/>
      <c r="N31" s="7"/>
      <c r="O31" s="49"/>
      <c r="P31" s="49"/>
      <c r="Q31" s="7"/>
      <c r="R31" s="7"/>
      <c r="S31" s="49"/>
      <c r="T31" s="49"/>
      <c r="U31" s="7"/>
      <c r="V31" s="7"/>
      <c r="W31" s="49"/>
      <c r="X31" s="49"/>
      <c r="Y31" s="7"/>
      <c r="Z31" s="7"/>
      <c r="AA31" s="49"/>
      <c r="AB31" s="49"/>
      <c r="AC31" s="13"/>
      <c r="AD31" s="49"/>
      <c r="AE31" s="49"/>
    </row>
    <row r="32" spans="11:31" x14ac:dyDescent="0.2">
      <c r="K32" s="49"/>
      <c r="L32" s="49"/>
      <c r="M32" s="7"/>
      <c r="N32" s="7"/>
      <c r="O32" s="49"/>
      <c r="P32" s="49"/>
      <c r="Q32" s="7"/>
      <c r="R32" s="7"/>
      <c r="S32" s="49"/>
      <c r="T32" s="49"/>
      <c r="U32" s="7"/>
      <c r="V32" s="7"/>
      <c r="W32" s="49"/>
      <c r="X32" s="49"/>
      <c r="Y32" s="7"/>
      <c r="Z32" s="7"/>
      <c r="AA32" s="49"/>
      <c r="AB32" s="49"/>
      <c r="AC32" s="13"/>
      <c r="AD32" s="49"/>
      <c r="AE32" s="49"/>
    </row>
    <row r="33" spans="11:31" x14ac:dyDescent="0.2">
      <c r="K33" s="51"/>
      <c r="L33" s="51"/>
      <c r="M33" s="7"/>
      <c r="N33" s="7"/>
      <c r="O33" s="51"/>
      <c r="P33" s="51"/>
      <c r="Q33" s="7"/>
      <c r="R33" s="7"/>
      <c r="S33" s="51"/>
      <c r="T33" s="51"/>
      <c r="U33" s="7"/>
      <c r="V33" s="7"/>
      <c r="W33" s="51"/>
      <c r="X33" s="51"/>
      <c r="Y33" s="7"/>
      <c r="Z33" s="7"/>
      <c r="AA33" s="51"/>
      <c r="AB33" s="51"/>
      <c r="AC33" s="13"/>
      <c r="AD33" s="51"/>
      <c r="AE33" s="51"/>
    </row>
  </sheetData>
  <customSheetViews>
    <customSheetView guid="{D9E11D92-C3F6-400D-9CCD-0BAB3C21C6A8}" topLeftCell="F1">
      <selection activeCell="S18" sqref="S18"/>
      <pageMargins left="0.7" right="0.7" top="0.78740157499999996" bottom="0.78740157499999996" header="0.3" footer="0.3"/>
      <pageSetup paperSize="9" orientation="portrait" horizontalDpi="4294967293" verticalDpi="0" r:id="rId1"/>
    </customSheetView>
  </customSheetViews>
  <pageMargins left="0.7" right="0.7" top="0.78740157499999996" bottom="0.78740157499999996" header="0.3" footer="0.3"/>
  <pageSetup paperSize="9" orientation="portrait" horizontalDpi="4294967293" verticalDpi="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tabColor rgb="FF92D050"/>
  </sheetPr>
  <dimension ref="K1:R19"/>
  <sheetViews>
    <sheetView topLeftCell="J1" zoomScaleNormal="100" workbookViewId="0">
      <selection activeCell="L24" sqref="L24:P24"/>
    </sheetView>
  </sheetViews>
  <sheetFormatPr baseColWidth="10" defaultColWidth="11" defaultRowHeight="12.75" x14ac:dyDescent="0.2"/>
  <cols>
    <col min="1" max="10" width="1.5" style="4" customWidth="1"/>
    <col min="11" max="11" width="26" style="4" customWidth="1"/>
    <col min="12" max="12" width="10.75" style="4" bestFit="1" customWidth="1"/>
    <col min="13" max="13" width="1.75" style="4" customWidth="1"/>
    <col min="14" max="14" width="26" style="4" customWidth="1"/>
    <col min="15" max="15" width="10.75" style="4" bestFit="1" customWidth="1"/>
    <col min="16" max="16" width="1.75" style="4" customWidth="1"/>
    <col min="17" max="17" width="26" style="4" customWidth="1"/>
    <col min="18" max="18" width="10.75" style="4" bestFit="1" customWidth="1"/>
    <col min="19" max="16384" width="11" style="4"/>
  </cols>
  <sheetData>
    <row r="1" spans="11:18" ht="8.1" customHeight="1" x14ac:dyDescent="0.2"/>
    <row r="2" spans="11:18" ht="8.1" customHeight="1" x14ac:dyDescent="0.2"/>
    <row r="3" spans="11:18" ht="8.1" customHeight="1" x14ac:dyDescent="0.2"/>
    <row r="4" spans="11:18" ht="8.1" customHeight="1" x14ac:dyDescent="0.2"/>
    <row r="5" spans="11:18" ht="8.1" customHeight="1" x14ac:dyDescent="0.2"/>
    <row r="6" spans="11:18" ht="8.1" customHeight="1" x14ac:dyDescent="0.2"/>
    <row r="7" spans="11:18" ht="8.1" customHeight="1" x14ac:dyDescent="0.2"/>
    <row r="8" spans="11:18" ht="8.1" customHeight="1" x14ac:dyDescent="0.2"/>
    <row r="9" spans="11:18" x14ac:dyDescent="0.2">
      <c r="K9" s="5">
        <f>COUNTA(rL2.MainGroups01)</f>
        <v>8</v>
      </c>
      <c r="L9" s="16"/>
      <c r="N9" s="5">
        <f>COUNTA(rL2.MainGroups02)</f>
        <v>6</v>
      </c>
      <c r="O9" s="16"/>
      <c r="Q9" s="5">
        <f>COUNTA(rL2.MainGroups03)</f>
        <v>7</v>
      </c>
      <c r="R9" s="16"/>
    </row>
    <row r="10" spans="11:18" ht="8.1" customHeight="1" x14ac:dyDescent="0.2"/>
    <row r="11" spans="11:18" x14ac:dyDescent="0.2">
      <c r="K11" s="46" t="s">
        <v>90</v>
      </c>
      <c r="L11" s="46" t="s">
        <v>198</v>
      </c>
      <c r="N11" s="46" t="s">
        <v>121</v>
      </c>
      <c r="O11" s="46" t="s">
        <v>198</v>
      </c>
      <c r="Q11" s="46" t="s">
        <v>122</v>
      </c>
      <c r="R11" s="46" t="s">
        <v>198</v>
      </c>
    </row>
    <row r="12" spans="11:18" ht="13.5" x14ac:dyDescent="0.25">
      <c r="K12" s="60" t="s">
        <v>402</v>
      </c>
      <c r="L12" s="47" t="s">
        <v>199</v>
      </c>
      <c r="N12" s="60" t="s">
        <v>402</v>
      </c>
      <c r="O12" s="47" t="s">
        <v>199</v>
      </c>
      <c r="Q12" s="60" t="s">
        <v>402</v>
      </c>
      <c r="R12" s="47" t="s">
        <v>199</v>
      </c>
    </row>
    <row r="13" spans="11:18" ht="13.5" x14ac:dyDescent="0.25">
      <c r="K13" s="61" t="s">
        <v>396</v>
      </c>
      <c r="L13" s="49" t="s">
        <v>200</v>
      </c>
      <c r="N13" s="61" t="s">
        <v>396</v>
      </c>
      <c r="O13" s="49" t="s">
        <v>200</v>
      </c>
      <c r="Q13" s="61" t="s">
        <v>396</v>
      </c>
      <c r="R13" s="49" t="s">
        <v>200</v>
      </c>
    </row>
    <row r="14" spans="11:18" ht="13.5" x14ac:dyDescent="0.25">
      <c r="K14" s="61" t="s">
        <v>397</v>
      </c>
      <c r="L14" s="49" t="s">
        <v>201</v>
      </c>
      <c r="N14" s="61" t="s">
        <v>397</v>
      </c>
      <c r="O14" s="49" t="s">
        <v>201</v>
      </c>
      <c r="Q14" s="61" t="s">
        <v>397</v>
      </c>
      <c r="R14" s="49" t="s">
        <v>201</v>
      </c>
    </row>
    <row r="15" spans="11:18" ht="13.5" x14ac:dyDescent="0.25">
      <c r="K15" s="61" t="s">
        <v>398</v>
      </c>
      <c r="L15" s="49" t="s">
        <v>202</v>
      </c>
      <c r="N15" s="61" t="s">
        <v>398</v>
      </c>
      <c r="O15" s="49" t="s">
        <v>202</v>
      </c>
      <c r="Q15" s="61" t="s">
        <v>398</v>
      </c>
      <c r="R15" s="49" t="s">
        <v>202</v>
      </c>
    </row>
    <row r="16" spans="11:18" ht="13.5" x14ac:dyDescent="0.25">
      <c r="K16" s="61" t="s">
        <v>399</v>
      </c>
      <c r="L16" s="49" t="s">
        <v>203</v>
      </c>
      <c r="N16" s="61" t="s">
        <v>399</v>
      </c>
      <c r="O16" s="49" t="s">
        <v>203</v>
      </c>
      <c r="Q16" s="61" t="s">
        <v>399</v>
      </c>
      <c r="R16" s="49" t="s">
        <v>203</v>
      </c>
    </row>
    <row r="17" spans="11:18" ht="13.5" x14ac:dyDescent="0.25">
      <c r="K17" s="61" t="s">
        <v>401</v>
      </c>
      <c r="L17" s="49" t="s">
        <v>400</v>
      </c>
      <c r="N17" s="81" t="s">
        <v>401</v>
      </c>
      <c r="O17" s="51" t="s">
        <v>400</v>
      </c>
      <c r="Q17" s="61" t="s">
        <v>401</v>
      </c>
      <c r="R17" s="49" t="s">
        <v>400</v>
      </c>
    </row>
    <row r="18" spans="11:18" ht="13.5" x14ac:dyDescent="0.25">
      <c r="K18" s="61" t="s">
        <v>345</v>
      </c>
      <c r="L18" s="49"/>
      <c r="Q18" s="62" t="s">
        <v>341</v>
      </c>
      <c r="R18" s="51"/>
    </row>
    <row r="19" spans="11:18" ht="13.5" x14ac:dyDescent="0.25">
      <c r="K19" s="62" t="s">
        <v>346</v>
      </c>
      <c r="L19" s="51"/>
    </row>
  </sheetData>
  <customSheetViews>
    <customSheetView guid="{D9E11D92-C3F6-400D-9CCD-0BAB3C21C6A8}" topLeftCell="J1">
      <selection activeCell="N11" sqref="N11:O17"/>
      <pageMargins left="0.7" right="0.7" top="0.78740157499999996" bottom="0.78740157499999996" header="0.3" footer="0.3"/>
    </customSheetView>
  </customSheetViews>
  <pageMargins left="0.7" right="0.7" top="0.78740157499999996" bottom="0.78740157499999996"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K1:N15"/>
  <sheetViews>
    <sheetView workbookViewId="0">
      <selection activeCell="L24" sqref="L24:P24"/>
    </sheetView>
  </sheetViews>
  <sheetFormatPr baseColWidth="10" defaultRowHeight="14.25" x14ac:dyDescent="0.2"/>
  <cols>
    <col min="1" max="10" width="1.625" customWidth="1"/>
    <col min="11" max="11" width="15.75" bestFit="1" customWidth="1"/>
  </cols>
  <sheetData>
    <row r="1" spans="11:14" ht="9.9499999999999993" customHeight="1" x14ac:dyDescent="0.2"/>
    <row r="2" spans="11:14" ht="9.9499999999999993" customHeight="1" x14ac:dyDescent="0.2"/>
    <row r="3" spans="11:14" ht="9.9499999999999993" customHeight="1" x14ac:dyDescent="0.2"/>
    <row r="4" spans="11:14" ht="9.9499999999999993" customHeight="1" x14ac:dyDescent="0.2"/>
    <row r="5" spans="11:14" ht="9.9499999999999993" customHeight="1" x14ac:dyDescent="0.2"/>
    <row r="6" spans="11:14" ht="9.9499999999999993" customHeight="1" x14ac:dyDescent="0.2"/>
    <row r="7" spans="11:14" ht="9.9499999999999993" customHeight="1" x14ac:dyDescent="0.2"/>
    <row r="8" spans="11:14" ht="9.9499999999999993" customHeight="1" x14ac:dyDescent="0.2"/>
    <row r="9" spans="11:14" x14ac:dyDescent="0.2">
      <c r="K9" s="103">
        <f>COUNTA(rL3.AufteilungMomenteWind)</f>
        <v>4</v>
      </c>
    </row>
    <row r="10" spans="11:14" ht="9.9499999999999993" customHeight="1" x14ac:dyDescent="0.2"/>
    <row r="11" spans="11:14" x14ac:dyDescent="0.2">
      <c r="K11" s="88"/>
      <c r="L11" s="89" t="s">
        <v>474</v>
      </c>
      <c r="M11" s="90" t="s">
        <v>475</v>
      </c>
      <c r="N11" s="91" t="s">
        <v>476</v>
      </c>
    </row>
    <row r="12" spans="11:14" x14ac:dyDescent="0.2">
      <c r="K12" s="92" t="s">
        <v>477</v>
      </c>
      <c r="L12" s="95">
        <f>-1/16</f>
        <v>-6.25E-2</v>
      </c>
      <c r="M12" s="3">
        <f>1/16</f>
        <v>6.25E-2</v>
      </c>
      <c r="N12" s="96">
        <f>-1/16</f>
        <v>-6.25E-2</v>
      </c>
    </row>
    <row r="13" spans="11:14" x14ac:dyDescent="0.2">
      <c r="K13" s="93" t="s">
        <v>478</v>
      </c>
      <c r="L13" s="97">
        <v>0</v>
      </c>
      <c r="M13" s="98">
        <f>1/12</f>
        <v>8.3333333333333329E-2</v>
      </c>
      <c r="N13" s="99">
        <f>-1/12</f>
        <v>-8.3333333333333329E-2</v>
      </c>
    </row>
    <row r="14" spans="11:14" x14ac:dyDescent="0.2">
      <c r="K14" s="93" t="s">
        <v>479</v>
      </c>
      <c r="L14" s="97">
        <v>0</v>
      </c>
      <c r="M14" s="98">
        <f>1/16</f>
        <v>6.25E-2</v>
      </c>
      <c r="N14" s="99">
        <f>-1/8</f>
        <v>-0.125</v>
      </c>
    </row>
    <row r="15" spans="11:14" x14ac:dyDescent="0.2">
      <c r="K15" s="94" t="s">
        <v>480</v>
      </c>
      <c r="L15" s="100">
        <v>0</v>
      </c>
      <c r="M15" s="101">
        <f>1/8</f>
        <v>0.125</v>
      </c>
      <c r="N15" s="102">
        <v>0</v>
      </c>
    </row>
  </sheetData>
  <customSheetViews>
    <customSheetView guid="{D9E11D92-C3F6-400D-9CCD-0BAB3C21C6A8}">
      <selection activeCell="K11" sqref="K11"/>
      <pageMargins left="0.7" right="0.7" top="0.78740157499999996" bottom="0.78740157499999996" header="0.3" footer="0.3"/>
    </customSheetView>
  </customSheetViews>
  <pageMargins left="0.7" right="0.7" top="0.78740157499999996" bottom="0.78740157499999996"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9">
    <tabColor rgb="FF92D050"/>
  </sheetPr>
  <dimension ref="K1:K32"/>
  <sheetViews>
    <sheetView zoomScaleNormal="100" workbookViewId="0">
      <selection activeCell="L24" sqref="L24:P24"/>
    </sheetView>
  </sheetViews>
  <sheetFormatPr baseColWidth="10" defaultColWidth="11" defaultRowHeight="12.75" x14ac:dyDescent="0.2"/>
  <cols>
    <col min="1" max="10" width="1.5" style="4" customWidth="1"/>
    <col min="11" max="11" width="13.875" style="7" customWidth="1"/>
    <col min="12" max="16384" width="11" style="4"/>
  </cols>
  <sheetData>
    <row r="1" spans="11:11" ht="8.1" customHeight="1" x14ac:dyDescent="0.2"/>
    <row r="2" spans="11:11" ht="8.1" customHeight="1" x14ac:dyDescent="0.2"/>
    <row r="3" spans="11:11" ht="8.1" customHeight="1" x14ac:dyDescent="0.2"/>
    <row r="4" spans="11:11" ht="8.1" customHeight="1" x14ac:dyDescent="0.2"/>
    <row r="5" spans="11:11" ht="8.1" customHeight="1" x14ac:dyDescent="0.2"/>
    <row r="6" spans="11:11" ht="8.1" customHeight="1" x14ac:dyDescent="0.2"/>
    <row r="7" spans="11:11" ht="8.1" customHeight="1" x14ac:dyDescent="0.2"/>
    <row r="8" spans="11:11" ht="8.1" customHeight="1" x14ac:dyDescent="0.2"/>
    <row r="9" spans="11:11" x14ac:dyDescent="0.2">
      <c r="K9" s="56">
        <f>COUNTA(rL4.ConcWallThickness)</f>
        <v>21</v>
      </c>
    </row>
    <row r="10" spans="11:11" ht="8.1" customHeight="1" x14ac:dyDescent="0.2"/>
    <row r="11" spans="11:11" x14ac:dyDescent="0.2">
      <c r="K11" s="46" t="s">
        <v>92</v>
      </c>
    </row>
    <row r="12" spans="11:11" x14ac:dyDescent="0.2">
      <c r="K12" s="57">
        <v>0.2</v>
      </c>
    </row>
    <row r="13" spans="11:11" x14ac:dyDescent="0.2">
      <c r="K13" s="57">
        <v>0.21</v>
      </c>
    </row>
    <row r="14" spans="11:11" x14ac:dyDescent="0.2">
      <c r="K14" s="57">
        <v>0.22</v>
      </c>
    </row>
    <row r="15" spans="11:11" x14ac:dyDescent="0.2">
      <c r="K15" s="57">
        <v>0.23</v>
      </c>
    </row>
    <row r="16" spans="11:11" x14ac:dyDescent="0.2">
      <c r="K16" s="57">
        <v>0.24</v>
      </c>
    </row>
    <row r="17" spans="11:11" x14ac:dyDescent="0.2">
      <c r="K17" s="57">
        <v>0.25</v>
      </c>
    </row>
    <row r="18" spans="11:11" x14ac:dyDescent="0.2">
      <c r="K18" s="57">
        <v>0.26</v>
      </c>
    </row>
    <row r="19" spans="11:11" x14ac:dyDescent="0.2">
      <c r="K19" s="57">
        <v>0.27</v>
      </c>
    </row>
    <row r="20" spans="11:11" x14ac:dyDescent="0.2">
      <c r="K20" s="57">
        <v>0.28000000000000003</v>
      </c>
    </row>
    <row r="21" spans="11:11" x14ac:dyDescent="0.2">
      <c r="K21" s="57">
        <v>0.28999999999999998</v>
      </c>
    </row>
    <row r="22" spans="11:11" x14ac:dyDescent="0.2">
      <c r="K22" s="57">
        <v>0.3</v>
      </c>
    </row>
    <row r="23" spans="11:11" x14ac:dyDescent="0.2">
      <c r="K23" s="57">
        <v>0.31</v>
      </c>
    </row>
    <row r="24" spans="11:11" x14ac:dyDescent="0.2">
      <c r="K24" s="57">
        <v>0.32</v>
      </c>
    </row>
    <row r="25" spans="11:11" x14ac:dyDescent="0.2">
      <c r="K25" s="57">
        <v>0.33</v>
      </c>
    </row>
    <row r="26" spans="11:11" x14ac:dyDescent="0.2">
      <c r="K26" s="57">
        <v>0.34</v>
      </c>
    </row>
    <row r="27" spans="11:11" x14ac:dyDescent="0.2">
      <c r="K27" s="57">
        <v>0.35</v>
      </c>
    </row>
    <row r="28" spans="11:11" x14ac:dyDescent="0.2">
      <c r="K28" s="57">
        <v>0.36</v>
      </c>
    </row>
    <row r="29" spans="11:11" x14ac:dyDescent="0.2">
      <c r="K29" s="57">
        <v>0.37</v>
      </c>
    </row>
    <row r="30" spans="11:11" x14ac:dyDescent="0.2">
      <c r="K30" s="57">
        <v>0.38</v>
      </c>
    </row>
    <row r="31" spans="11:11" x14ac:dyDescent="0.2">
      <c r="K31" s="57">
        <v>0.39</v>
      </c>
    </row>
    <row r="32" spans="11:11" x14ac:dyDescent="0.2">
      <c r="K32" s="58">
        <v>0.4</v>
      </c>
    </row>
  </sheetData>
  <customSheetViews>
    <customSheetView guid="{D9E11D92-C3F6-400D-9CCD-0BAB3C21C6A8}">
      <selection activeCell="K9" sqref="K9:K13"/>
      <pageMargins left="0.7" right="0.7" top="0.78740157499999996" bottom="0.78740157499999996" header="0.3" footer="0.3"/>
    </customSheetView>
  </customSheetViews>
  <pageMargins left="0.7" right="0.7" top="0.78740157499999996" bottom="0.78740157499999996"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K1:R19"/>
  <sheetViews>
    <sheetView zoomScaleNormal="100" workbookViewId="0">
      <selection activeCell="K20" sqref="K20"/>
    </sheetView>
  </sheetViews>
  <sheetFormatPr baseColWidth="10" defaultRowHeight="14.25" x14ac:dyDescent="0.2"/>
  <cols>
    <col min="1" max="10" width="1.5" customWidth="1"/>
    <col min="11" max="11" width="12.625" bestFit="1" customWidth="1"/>
    <col min="13" max="13" width="16" bestFit="1" customWidth="1"/>
    <col min="14" max="14" width="14.125" bestFit="1" customWidth="1"/>
  </cols>
  <sheetData>
    <row r="1" spans="11:18" ht="9.9499999999999993" customHeight="1" x14ac:dyDescent="0.2"/>
    <row r="2" spans="11:18" ht="9.9499999999999993" customHeight="1" x14ac:dyDescent="0.2"/>
    <row r="3" spans="11:18" ht="9.9499999999999993" customHeight="1" x14ac:dyDescent="0.2"/>
    <row r="4" spans="11:18" ht="9.9499999999999993" customHeight="1" x14ac:dyDescent="0.2"/>
    <row r="5" spans="11:18" ht="9.9499999999999993" customHeight="1" x14ac:dyDescent="0.2"/>
    <row r="6" spans="11:18" ht="9.9499999999999993" customHeight="1" x14ac:dyDescent="0.2"/>
    <row r="7" spans="11:18" ht="9.9499999999999993" customHeight="1" x14ac:dyDescent="0.2"/>
    <row r="8" spans="11:18" ht="9.9499999999999993" customHeight="1" x14ac:dyDescent="0.2"/>
    <row r="9" spans="11:18" x14ac:dyDescent="0.2">
      <c r="K9" s="56">
        <v>1</v>
      </c>
    </row>
    <row r="10" spans="11:18" ht="9.9499999999999993" customHeight="1" x14ac:dyDescent="0.2">
      <c r="K10" s="7"/>
    </row>
    <row r="11" spans="11:18" x14ac:dyDescent="0.2">
      <c r="K11" s="46" t="s">
        <v>386</v>
      </c>
      <c r="L11" s="46"/>
      <c r="N11" s="59" t="s">
        <v>390</v>
      </c>
      <c r="O11" s="46">
        <v>0</v>
      </c>
      <c r="P11" s="46">
        <v>10</v>
      </c>
    </row>
    <row r="12" spans="11:18" x14ac:dyDescent="0.2">
      <c r="K12" s="79" t="s">
        <v>387</v>
      </c>
      <c r="L12" s="79" t="s">
        <v>466</v>
      </c>
      <c r="N12" s="56" t="s">
        <v>391</v>
      </c>
      <c r="O12" s="56">
        <v>1</v>
      </c>
      <c r="P12" s="56">
        <v>1</v>
      </c>
    </row>
    <row r="13" spans="11:18" x14ac:dyDescent="0.2">
      <c r="K13" s="80" t="s">
        <v>388</v>
      </c>
      <c r="L13" s="80" t="s">
        <v>467</v>
      </c>
      <c r="N13" s="56" t="s">
        <v>392</v>
      </c>
      <c r="O13" s="56">
        <v>1</v>
      </c>
      <c r="P13" s="56">
        <v>1</v>
      </c>
    </row>
    <row r="15" spans="11:18" x14ac:dyDescent="0.2">
      <c r="K15" s="46" t="s">
        <v>510</v>
      </c>
      <c r="L15" s="46" t="s">
        <v>511</v>
      </c>
      <c r="N15" s="59" t="s">
        <v>390</v>
      </c>
      <c r="O15" s="46">
        <v>0.5</v>
      </c>
      <c r="P15" s="46">
        <v>0.625</v>
      </c>
      <c r="Q15" s="46">
        <v>1</v>
      </c>
      <c r="R15" s="46">
        <v>2</v>
      </c>
    </row>
    <row r="16" spans="11:18" x14ac:dyDescent="0.2">
      <c r="K16" s="109">
        <v>0</v>
      </c>
      <c r="L16" s="109">
        <v>0.75</v>
      </c>
      <c r="N16" s="56" t="s">
        <v>391</v>
      </c>
      <c r="O16" s="56">
        <v>1</v>
      </c>
      <c r="P16" s="56">
        <v>0.9</v>
      </c>
      <c r="Q16" s="56">
        <v>0.83</v>
      </c>
      <c r="R16" s="56">
        <v>0.75</v>
      </c>
    </row>
    <row r="17" spans="11:18" x14ac:dyDescent="0.2">
      <c r="K17" s="109">
        <f>1/6</f>
        <v>0.16666666666666666</v>
      </c>
      <c r="L17" s="109">
        <v>0.75</v>
      </c>
      <c r="N17" s="56" t="s">
        <v>392</v>
      </c>
      <c r="O17" s="56">
        <v>1</v>
      </c>
      <c r="P17" s="56">
        <v>0.75</v>
      </c>
      <c r="Q17" s="56">
        <v>0.67</v>
      </c>
      <c r="R17" s="56">
        <v>0.6</v>
      </c>
    </row>
    <row r="18" spans="11:18" x14ac:dyDescent="0.2">
      <c r="K18" s="109">
        <f>1/3</f>
        <v>0.33333333333333331</v>
      </c>
      <c r="L18" s="109">
        <v>1</v>
      </c>
    </row>
    <row r="19" spans="11:18" x14ac:dyDescent="0.2">
      <c r="K19" s="109">
        <v>10</v>
      </c>
      <c r="L19" s="109">
        <v>1</v>
      </c>
    </row>
  </sheetData>
  <customSheetViews>
    <customSheetView guid="{D9E11D92-C3F6-400D-9CCD-0BAB3C21C6A8}">
      <selection activeCell="N34" sqref="N34"/>
      <pageMargins left="0.7" right="0.7" top="0.78740157499999996" bottom="0.78740157499999996" header="0.3" footer="0.3"/>
    </customSheetView>
  </customSheetViews>
  <pageMargins left="0.7" right="0.7" top="0.78740157499999996" bottom="0.78740157499999996" header="0.3" footer="0.3"/>
  <pageSetup paperSize="9" orientation="portrait" verticalDpi="0"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K1:L16"/>
  <sheetViews>
    <sheetView workbookViewId="0">
      <selection activeCell="L24" sqref="L24:P24"/>
    </sheetView>
  </sheetViews>
  <sheetFormatPr baseColWidth="10" defaultRowHeight="14.25" x14ac:dyDescent="0.2"/>
  <cols>
    <col min="1" max="10" width="1.625" customWidth="1"/>
    <col min="11" max="11" width="22.875" bestFit="1" customWidth="1"/>
    <col min="12" max="12" width="17.75" bestFit="1" customWidth="1"/>
  </cols>
  <sheetData>
    <row r="1" spans="11:12" ht="9.9499999999999993" customHeight="1" x14ac:dyDescent="0.2"/>
    <row r="2" spans="11:12" ht="9.9499999999999993" customHeight="1" x14ac:dyDescent="0.2"/>
    <row r="3" spans="11:12" ht="9.9499999999999993" customHeight="1" x14ac:dyDescent="0.2"/>
    <row r="4" spans="11:12" ht="9.9499999999999993" customHeight="1" x14ac:dyDescent="0.2"/>
    <row r="5" spans="11:12" ht="9.9499999999999993" customHeight="1" x14ac:dyDescent="0.2"/>
    <row r="6" spans="11:12" ht="9.9499999999999993" customHeight="1" x14ac:dyDescent="0.2"/>
    <row r="7" spans="11:12" ht="9.9499999999999993" customHeight="1" x14ac:dyDescent="0.2"/>
    <row r="8" spans="11:12" ht="9.9499999999999993" customHeight="1" x14ac:dyDescent="0.2"/>
    <row r="9" spans="11:12" ht="9.9499999999999993" customHeight="1" x14ac:dyDescent="0.2"/>
    <row r="10" spans="11:12" ht="9.9499999999999993" customHeight="1" x14ac:dyDescent="0.2"/>
    <row r="11" spans="11:12" x14ac:dyDescent="0.2">
      <c r="K11" s="114" t="s">
        <v>513</v>
      </c>
      <c r="L11" s="114" t="s">
        <v>515</v>
      </c>
    </row>
    <row r="12" spans="11:12" x14ac:dyDescent="0.2">
      <c r="K12" s="74" t="s">
        <v>553</v>
      </c>
      <c r="L12" s="74"/>
    </row>
    <row r="13" spans="11:12" x14ac:dyDescent="0.2">
      <c r="K13" s="115" t="s">
        <v>518</v>
      </c>
      <c r="L13" s="115">
        <v>14</v>
      </c>
    </row>
    <row r="14" spans="11:12" x14ac:dyDescent="0.2">
      <c r="K14" s="115" t="s">
        <v>519</v>
      </c>
      <c r="L14" s="115">
        <v>16</v>
      </c>
    </row>
    <row r="15" spans="11:12" x14ac:dyDescent="0.2">
      <c r="K15" s="115" t="s">
        <v>520</v>
      </c>
      <c r="L15" s="115">
        <v>18</v>
      </c>
    </row>
    <row r="16" spans="11:12" x14ac:dyDescent="0.2">
      <c r="K16" s="76" t="s">
        <v>514</v>
      </c>
      <c r="L16" s="76">
        <v>20</v>
      </c>
    </row>
  </sheetData>
  <customSheetViews>
    <customSheetView guid="{D9E11D92-C3F6-400D-9CCD-0BAB3C21C6A8}">
      <selection activeCell="K15" sqref="K15"/>
      <pageMargins left="0.7" right="0.7" top="0.78740157499999996" bottom="0.78740157499999996" header="0.3" footer="0.3"/>
    </customSheetView>
  </customSheetViews>
  <pageMargins left="0.7" right="0.7" top="0.78740157499999996" bottom="0.78740157499999996"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91">
    <tabColor rgb="FF00B0F0"/>
  </sheetPr>
  <dimension ref="K1:P31"/>
  <sheetViews>
    <sheetView zoomScaleNormal="100" workbookViewId="0">
      <selection activeCell="L24" sqref="L24:P24"/>
    </sheetView>
  </sheetViews>
  <sheetFormatPr baseColWidth="10" defaultColWidth="11" defaultRowHeight="12.75" x14ac:dyDescent="0.2"/>
  <cols>
    <col min="1" max="10" width="1.5" style="4" customWidth="1"/>
    <col min="11" max="12" width="11" style="4"/>
    <col min="13" max="13" width="54.75" style="4" customWidth="1"/>
    <col min="14" max="14" width="11" style="4"/>
    <col min="15" max="15" width="14.875" style="4" bestFit="1" customWidth="1"/>
    <col min="16" max="16384" width="11" style="4"/>
  </cols>
  <sheetData>
    <row r="1" spans="11:16" ht="8.1" customHeight="1" x14ac:dyDescent="0.2"/>
    <row r="2" spans="11:16" ht="8.1" customHeight="1" x14ac:dyDescent="0.2"/>
    <row r="3" spans="11:16" ht="8.1" customHeight="1" x14ac:dyDescent="0.2"/>
    <row r="4" spans="11:16" ht="8.1" customHeight="1" x14ac:dyDescent="0.2"/>
    <row r="5" spans="11:16" ht="8.1" customHeight="1" x14ac:dyDescent="0.2"/>
    <row r="6" spans="11:16" ht="8.1" customHeight="1" x14ac:dyDescent="0.2"/>
    <row r="7" spans="11:16" ht="8.1" customHeight="1" x14ac:dyDescent="0.2"/>
    <row r="8" spans="11:16" ht="8.1" customHeight="1" x14ac:dyDescent="0.2"/>
    <row r="9" spans="11:16" ht="8.1" customHeight="1" x14ac:dyDescent="0.2"/>
    <row r="10" spans="11:16" ht="8.1" customHeight="1" x14ac:dyDescent="0.2"/>
    <row r="11" spans="11:16" ht="15.75" x14ac:dyDescent="0.3">
      <c r="K11" s="1" t="s">
        <v>46</v>
      </c>
      <c r="L11" s="4">
        <v>1</v>
      </c>
      <c r="M11" s="4" t="s">
        <v>45</v>
      </c>
      <c r="O11" s="4" t="s">
        <v>176</v>
      </c>
    </row>
    <row r="12" spans="11:16" ht="15.75" x14ac:dyDescent="0.3">
      <c r="K12" s="4" t="s">
        <v>165</v>
      </c>
      <c r="L12" s="4">
        <v>15</v>
      </c>
      <c r="M12" s="4" t="s">
        <v>81</v>
      </c>
      <c r="O12" s="4" t="s">
        <v>344</v>
      </c>
      <c r="P12" s="4" t="s">
        <v>188</v>
      </c>
    </row>
    <row r="13" spans="11:16" ht="15.75" x14ac:dyDescent="0.3">
      <c r="K13" s="4" t="s">
        <v>165</v>
      </c>
      <c r="L13" s="4">
        <v>27</v>
      </c>
      <c r="M13" s="4" t="s">
        <v>111</v>
      </c>
      <c r="O13" s="4" t="s">
        <v>338</v>
      </c>
      <c r="P13" s="4" t="s">
        <v>189</v>
      </c>
    </row>
    <row r="14" spans="11:16" ht="15.75" x14ac:dyDescent="0.3">
      <c r="K14" s="4" t="s">
        <v>44</v>
      </c>
      <c r="L14" s="4">
        <v>1100</v>
      </c>
      <c r="M14" s="4" t="s">
        <v>384</v>
      </c>
      <c r="O14" s="4" t="s">
        <v>339</v>
      </c>
      <c r="P14" s="4" t="s">
        <v>190</v>
      </c>
    </row>
    <row r="15" spans="11:16" x14ac:dyDescent="0.2">
      <c r="K15" s="4" t="s">
        <v>41</v>
      </c>
      <c r="L15" s="4">
        <v>1.5</v>
      </c>
      <c r="M15" s="4" t="s">
        <v>113</v>
      </c>
      <c r="O15" s="4" t="s">
        <v>342</v>
      </c>
      <c r="P15" s="4" t="s">
        <v>191</v>
      </c>
    </row>
    <row r="16" spans="11:16" x14ac:dyDescent="0.2">
      <c r="K16" s="4" t="s">
        <v>115</v>
      </c>
      <c r="L16" s="4">
        <v>0.1</v>
      </c>
      <c r="M16" s="4" t="s">
        <v>164</v>
      </c>
      <c r="O16" s="4" t="s">
        <v>341</v>
      </c>
      <c r="P16" s="4" t="s">
        <v>192</v>
      </c>
    </row>
    <row r="17" spans="11:16" x14ac:dyDescent="0.2">
      <c r="L17" s="4">
        <v>0.8</v>
      </c>
      <c r="M17" s="4" t="s">
        <v>385</v>
      </c>
      <c r="O17" s="4" t="s">
        <v>343</v>
      </c>
      <c r="P17" s="4" t="s">
        <v>193</v>
      </c>
    </row>
    <row r="18" spans="11:16" x14ac:dyDescent="0.2">
      <c r="K18" s="4" t="s">
        <v>126</v>
      </c>
      <c r="L18" s="4">
        <v>0.3</v>
      </c>
      <c r="M18" s="4" t="s">
        <v>127</v>
      </c>
      <c r="O18" s="4" t="s">
        <v>82</v>
      </c>
      <c r="P18" s="4" t="s">
        <v>194</v>
      </c>
    </row>
    <row r="19" spans="11:16" x14ac:dyDescent="0.2">
      <c r="K19" s="4" t="s">
        <v>133</v>
      </c>
      <c r="L19" s="4">
        <v>9.81</v>
      </c>
      <c r="M19" s="4" t="s">
        <v>134</v>
      </c>
    </row>
    <row r="20" spans="11:16" ht="14.25" x14ac:dyDescent="0.25">
      <c r="K20" s="6" t="s">
        <v>166</v>
      </c>
      <c r="L20" s="4">
        <v>1.35</v>
      </c>
      <c r="M20" s="4" t="s">
        <v>135</v>
      </c>
    </row>
    <row r="21" spans="11:16" x14ac:dyDescent="0.2">
      <c r="K21" s="4" t="s">
        <v>175</v>
      </c>
      <c r="L21" s="4">
        <v>2500</v>
      </c>
      <c r="M21" s="4" t="s">
        <v>174</v>
      </c>
    </row>
    <row r="22" spans="11:16" x14ac:dyDescent="0.2">
      <c r="K22" s="4" t="s">
        <v>41</v>
      </c>
      <c r="L22" s="4">
        <v>3</v>
      </c>
      <c r="M22" s="4" t="s">
        <v>187</v>
      </c>
    </row>
    <row r="23" spans="11:16" x14ac:dyDescent="0.2">
      <c r="K23" s="77" t="s">
        <v>380</v>
      </c>
      <c r="L23" s="4">
        <v>0.85</v>
      </c>
      <c r="M23" s="4" t="s">
        <v>381</v>
      </c>
    </row>
    <row r="24" spans="11:16" x14ac:dyDescent="0.2">
      <c r="L24" s="4">
        <v>35</v>
      </c>
      <c r="M24" s="4" t="s">
        <v>509</v>
      </c>
    </row>
    <row r="25" spans="11:16" ht="15.75" x14ac:dyDescent="0.3">
      <c r="K25" s="4" t="s">
        <v>165</v>
      </c>
      <c r="L25" s="4">
        <v>10</v>
      </c>
      <c r="M25" s="4" t="s">
        <v>512</v>
      </c>
    </row>
    <row r="26" spans="11:16" x14ac:dyDescent="0.2">
      <c r="K26" s="4" t="s">
        <v>564</v>
      </c>
      <c r="L26" s="4">
        <v>0.1</v>
      </c>
      <c r="M26" s="4" t="s">
        <v>565</v>
      </c>
    </row>
    <row r="27" spans="11:16" x14ac:dyDescent="0.2">
      <c r="K27" s="4" t="s">
        <v>42</v>
      </c>
      <c r="L27" s="4">
        <v>0.125</v>
      </c>
      <c r="M27" s="4" t="s">
        <v>566</v>
      </c>
    </row>
    <row r="28" spans="11:16" x14ac:dyDescent="0.2">
      <c r="K28" s="4" t="s">
        <v>585</v>
      </c>
      <c r="L28" s="4">
        <v>1</v>
      </c>
      <c r="M28" s="4" t="s">
        <v>586</v>
      </c>
    </row>
    <row r="29" spans="11:16" x14ac:dyDescent="0.2">
      <c r="K29" s="4" t="s">
        <v>564</v>
      </c>
      <c r="L29" s="4">
        <f>2/3</f>
        <v>0.66666666666666663</v>
      </c>
      <c r="M29" s="4" t="s">
        <v>604</v>
      </c>
    </row>
    <row r="30" spans="11:16" x14ac:dyDescent="0.2">
      <c r="K30" s="4" t="s">
        <v>605</v>
      </c>
      <c r="L30" s="4">
        <v>30</v>
      </c>
      <c r="M30" s="4" t="s">
        <v>606</v>
      </c>
    </row>
    <row r="31" spans="11:16" x14ac:dyDescent="0.2">
      <c r="K31" s="4" t="s">
        <v>605</v>
      </c>
      <c r="L31" s="4">
        <v>15</v>
      </c>
      <c r="M31" s="4" t="s">
        <v>607</v>
      </c>
    </row>
  </sheetData>
  <customSheetViews>
    <customSheetView guid="{D9E11D92-C3F6-400D-9CCD-0BAB3C21C6A8}">
      <selection activeCell="L25" sqref="L25"/>
      <pageMargins left="0.7" right="0.7" top="0.78740157499999996" bottom="0.78740157499999996" header="0.3" footer="0.3"/>
    </customSheetView>
  </customSheetViews>
  <pageMargins left="0.7" right="0.7" top="0.78740157499999996" bottom="0.78740157499999996"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0">
    <tabColor rgb="FF00B0F0"/>
  </sheetPr>
  <dimension ref="K1:Q42"/>
  <sheetViews>
    <sheetView zoomScaleNormal="100" workbookViewId="0">
      <selection activeCell="L24" sqref="L24:P24"/>
    </sheetView>
  </sheetViews>
  <sheetFormatPr baseColWidth="10" defaultColWidth="11" defaultRowHeight="12.75" x14ac:dyDescent="0.2"/>
  <cols>
    <col min="1" max="10" width="1.5" style="4" customWidth="1"/>
    <col min="11" max="11" width="21.875" style="4" customWidth="1"/>
    <col min="12" max="12" width="21.5" style="4" customWidth="1"/>
    <col min="13" max="13" width="45.875" style="4" bestFit="1" customWidth="1"/>
    <col min="14" max="14" width="59.75" style="4" customWidth="1"/>
    <col min="15" max="16384" width="11" style="4"/>
  </cols>
  <sheetData>
    <row r="1" spans="11:17" ht="8.1" customHeight="1" x14ac:dyDescent="0.2"/>
    <row r="2" spans="11:17" ht="8.1" customHeight="1" x14ac:dyDescent="0.2"/>
    <row r="3" spans="11:17" ht="8.1" customHeight="1" x14ac:dyDescent="0.2"/>
    <row r="4" spans="11:17" ht="8.1" customHeight="1" x14ac:dyDescent="0.2"/>
    <row r="5" spans="11:17" ht="8.1" customHeight="1" x14ac:dyDescent="0.2"/>
    <row r="6" spans="11:17" ht="8.1" customHeight="1" x14ac:dyDescent="0.2"/>
    <row r="7" spans="11:17" ht="8.1" customHeight="1" x14ac:dyDescent="0.2"/>
    <row r="8" spans="11:17" ht="8.1" customHeight="1" x14ac:dyDescent="0.2"/>
    <row r="9" spans="11:17" ht="8.1" customHeight="1" x14ac:dyDescent="0.2"/>
    <row r="10" spans="11:17" ht="8.1" customHeight="1" x14ac:dyDescent="0.2"/>
    <row r="11" spans="11:17" x14ac:dyDescent="0.2">
      <c r="K11" s="4" t="s">
        <v>86</v>
      </c>
      <c r="M11" s="4" t="s">
        <v>87</v>
      </c>
      <c r="N11" s="4" t="s">
        <v>88</v>
      </c>
      <c r="P11" s="5" t="s">
        <v>80</v>
      </c>
      <c r="Q11" s="5">
        <v>1</v>
      </c>
    </row>
    <row r="12" spans="11:17" x14ac:dyDescent="0.2">
      <c r="K12" s="4" t="s">
        <v>0</v>
      </c>
      <c r="L12" s="4" t="s">
        <v>0</v>
      </c>
      <c r="M12" s="4" t="s">
        <v>347</v>
      </c>
      <c r="N12" s="4" t="s">
        <v>91</v>
      </c>
      <c r="P12" s="5" t="s">
        <v>79</v>
      </c>
      <c r="Q12" s="5">
        <v>0</v>
      </c>
    </row>
    <row r="13" spans="11:17" x14ac:dyDescent="0.2">
      <c r="M13" s="26" t="s">
        <v>348</v>
      </c>
      <c r="N13" s="4" t="s">
        <v>112</v>
      </c>
    </row>
    <row r="14" spans="11:17" x14ac:dyDescent="0.2">
      <c r="M14" s="4" t="s">
        <v>349</v>
      </c>
      <c r="N14" s="4" t="s">
        <v>138</v>
      </c>
    </row>
    <row r="15" spans="11:17" x14ac:dyDescent="0.2">
      <c r="M15" s="26" t="s">
        <v>350</v>
      </c>
      <c r="N15" s="4" t="s">
        <v>186</v>
      </c>
    </row>
    <row r="16" spans="11:17" x14ac:dyDescent="0.2">
      <c r="M16" s="26" t="s">
        <v>351</v>
      </c>
      <c r="N16" s="4" t="s">
        <v>185</v>
      </c>
    </row>
    <row r="17" spans="13:14" x14ac:dyDescent="0.2">
      <c r="M17" s="4" t="s">
        <v>352</v>
      </c>
      <c r="N17" s="4" t="s">
        <v>139</v>
      </c>
    </row>
    <row r="18" spans="13:14" ht="15.75" x14ac:dyDescent="0.3">
      <c r="M18" s="4" t="s">
        <v>172</v>
      </c>
      <c r="N18" s="4" t="s">
        <v>140</v>
      </c>
    </row>
    <row r="19" spans="13:14" ht="15.75" x14ac:dyDescent="0.3">
      <c r="M19" s="4" t="s">
        <v>173</v>
      </c>
      <c r="N19" s="4" t="s">
        <v>141</v>
      </c>
    </row>
    <row r="20" spans="13:14" x14ac:dyDescent="0.2">
      <c r="M20" s="4" t="s">
        <v>353</v>
      </c>
      <c r="N20" s="4" t="s">
        <v>145</v>
      </c>
    </row>
    <row r="21" spans="13:14" x14ac:dyDescent="0.2">
      <c r="M21" s="4" t="s">
        <v>548</v>
      </c>
      <c r="N21" s="4" t="s">
        <v>549</v>
      </c>
    </row>
    <row r="22" spans="13:14" x14ac:dyDescent="0.2">
      <c r="M22" s="4" t="s">
        <v>354</v>
      </c>
      <c r="N22" s="4" t="s">
        <v>550</v>
      </c>
    </row>
    <row r="23" spans="13:14" x14ac:dyDescent="0.2">
      <c r="M23" s="4" t="s">
        <v>355</v>
      </c>
      <c r="N23" s="4" t="s">
        <v>177</v>
      </c>
    </row>
    <row r="24" spans="13:14" x14ac:dyDescent="0.2">
      <c r="M24" s="4" t="s">
        <v>609</v>
      </c>
      <c r="N24" s="4" t="s">
        <v>177</v>
      </c>
    </row>
    <row r="25" spans="13:14" x14ac:dyDescent="0.2">
      <c r="M25" s="4" t="s">
        <v>330</v>
      </c>
    </row>
    <row r="26" spans="13:14" x14ac:dyDescent="0.2">
      <c r="M26" s="4" t="s">
        <v>331</v>
      </c>
    </row>
    <row r="27" spans="13:14" x14ac:dyDescent="0.2">
      <c r="M27" s="4" t="s">
        <v>332</v>
      </c>
    </row>
    <row r="28" spans="13:14" x14ac:dyDescent="0.2">
      <c r="M28" s="4" t="s">
        <v>255</v>
      </c>
    </row>
    <row r="29" spans="13:14" x14ac:dyDescent="0.2">
      <c r="M29" s="4" t="s">
        <v>256</v>
      </c>
    </row>
    <row r="30" spans="13:14" x14ac:dyDescent="0.2">
      <c r="M30" s="4" t="s">
        <v>257</v>
      </c>
    </row>
    <row r="31" spans="13:14" x14ac:dyDescent="0.2">
      <c r="M31" s="4" t="s">
        <v>258</v>
      </c>
    </row>
    <row r="32" spans="13:14" ht="15.75" x14ac:dyDescent="0.3">
      <c r="M32" s="4" t="s">
        <v>497</v>
      </c>
      <c r="N32" s="4" t="s">
        <v>368</v>
      </c>
    </row>
    <row r="33" spans="13:14" x14ac:dyDescent="0.2">
      <c r="M33" s="4" t="s">
        <v>375</v>
      </c>
      <c r="N33" s="4" t="s">
        <v>374</v>
      </c>
    </row>
    <row r="34" spans="13:14" x14ac:dyDescent="0.2">
      <c r="M34" s="4" t="s">
        <v>494</v>
      </c>
      <c r="N34" s="4" t="s">
        <v>493</v>
      </c>
    </row>
    <row r="35" spans="13:14" x14ac:dyDescent="0.2">
      <c r="M35" s="4" t="s">
        <v>492</v>
      </c>
      <c r="N35" s="4" t="s">
        <v>493</v>
      </c>
    </row>
    <row r="36" spans="13:14" x14ac:dyDescent="0.2">
      <c r="M36" s="4" t="s">
        <v>530</v>
      </c>
      <c r="N36" s="4" t="s">
        <v>517</v>
      </c>
    </row>
    <row r="37" spans="13:14" x14ac:dyDescent="0.2">
      <c r="M37" s="4" t="s">
        <v>551</v>
      </c>
      <c r="N37" s="4" t="s">
        <v>552</v>
      </c>
    </row>
    <row r="38" spans="13:14" x14ac:dyDescent="0.2">
      <c r="M38" s="4" t="s">
        <v>531</v>
      </c>
    </row>
    <row r="39" spans="13:14" x14ac:dyDescent="0.2">
      <c r="M39" s="4" t="s">
        <v>587</v>
      </c>
      <c r="N39" s="4" t="s">
        <v>588</v>
      </c>
    </row>
    <row r="40" spans="13:14" x14ac:dyDescent="0.2">
      <c r="M40" s="4" t="s">
        <v>608</v>
      </c>
      <c r="N40" s="4" t="s">
        <v>588</v>
      </c>
    </row>
    <row r="41" spans="13:14" x14ac:dyDescent="0.2">
      <c r="M41" s="4" t="s">
        <v>612</v>
      </c>
      <c r="N41" s="4" t="s">
        <v>610</v>
      </c>
    </row>
    <row r="42" spans="13:14" x14ac:dyDescent="0.2">
      <c r="M42" s="4" t="s">
        <v>613</v>
      </c>
      <c r="N42" s="4" t="s">
        <v>611</v>
      </c>
    </row>
  </sheetData>
  <customSheetViews>
    <customSheetView guid="{D9E11D92-C3F6-400D-9CCD-0BAB3C21C6A8}">
      <selection activeCell="N36" sqref="N36"/>
      <pageMargins left="0.7" right="0.7" top="0.78740157499999996" bottom="0.78740157499999996" header="0.3" footer="0.3"/>
      <pageSetup paperSize="9" orientation="portrait" r:id="rId1"/>
    </customSheetView>
  </customSheetViews>
  <pageMargins left="0.7" right="0.7" top="0.78740157499999996" bottom="0.78740157499999996" header="0.3" footer="0.3"/>
  <pageSetup paperSize="9" orientation="portrait"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01">
    <tabColor rgb="FFFFC000"/>
  </sheetPr>
  <dimension ref="A1:A10"/>
  <sheetViews>
    <sheetView zoomScaleNormal="100" workbookViewId="0">
      <selection activeCell="L19" sqref="L19:P19"/>
    </sheetView>
  </sheetViews>
  <sheetFormatPr baseColWidth="10" defaultRowHeight="14.25" x14ac:dyDescent="0.2"/>
  <cols>
    <col min="1" max="1" width="1.625" customWidth="1"/>
    <col min="2" max="10" width="1.5" customWidth="1"/>
    <col min="11" max="11" width="22.625" customWidth="1"/>
  </cols>
  <sheetData>
    <row r="1" ht="8.1" customHeight="1" x14ac:dyDescent="0.2"/>
    <row r="2" ht="8.1" customHeight="1" x14ac:dyDescent="0.2"/>
    <row r="3" ht="8.1" customHeight="1" x14ac:dyDescent="0.2"/>
    <row r="4" ht="8.1" customHeight="1" x14ac:dyDescent="0.2"/>
    <row r="5" ht="8.1" customHeight="1" x14ac:dyDescent="0.2"/>
    <row r="6" ht="8.1" customHeight="1" x14ac:dyDescent="0.2"/>
    <row r="7" ht="8.1" customHeight="1" x14ac:dyDescent="0.2"/>
    <row r="8" ht="8.1" customHeight="1" x14ac:dyDescent="0.2"/>
    <row r="9" ht="8.1" customHeight="1" x14ac:dyDescent="0.2"/>
    <row r="10" ht="8.1" customHeight="1" x14ac:dyDescent="0.2"/>
  </sheetData>
  <customSheetViews>
    <customSheetView guid="{D9E11D92-C3F6-400D-9CCD-0BAB3C21C6A8}" state="hidden">
      <selection activeCell="L19" sqref="L19:P19"/>
      <pageMargins left="0.7" right="0.7" top="0.78740157499999996" bottom="0.78740157499999996" header="0.3" footer="0.3"/>
    </customSheetView>
  </customSheetView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
  <sheetViews>
    <sheetView workbookViewId="0"/>
  </sheetViews>
  <sheetFormatPr baseColWidth="10" defaultRowHeight="14.25" x14ac:dyDescent="0.2"/>
  <cols>
    <col min="1" max="1" width="11" customWidth="1"/>
  </cols>
  <sheetData>
    <row r="1" spans="1:3" x14ac:dyDescent="0.2">
      <c r="A1" t="s">
        <v>521</v>
      </c>
    </row>
    <row r="2" spans="1:3" ht="409.5" x14ac:dyDescent="0.2">
      <c r="B2" t="s">
        <v>522</v>
      </c>
      <c r="C2" s="82" t="s">
        <v>557</v>
      </c>
    </row>
    <row r="3" spans="1:3" x14ac:dyDescent="0.2">
      <c r="B3" t="s">
        <v>523</v>
      </c>
      <c r="C3" t="s">
        <v>558</v>
      </c>
    </row>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AN274"/>
  <sheetViews>
    <sheetView showGridLines="0" showRowColHeaders="0" showRuler="0" topLeftCell="K46" zoomScaleNormal="100" zoomScalePageLayoutView="55" workbookViewId="0">
      <selection activeCell="N31" sqref="N31"/>
    </sheetView>
  </sheetViews>
  <sheetFormatPr baseColWidth="10" defaultColWidth="0" defaultRowHeight="14.25" zeroHeight="1" x14ac:dyDescent="0.2"/>
  <cols>
    <col min="1" max="2" width="1.5" style="116" hidden="1" customWidth="1"/>
    <col min="3" max="3" width="2.875" style="116" hidden="1" customWidth="1"/>
    <col min="4" max="4" width="1.5" style="116" hidden="1" customWidth="1"/>
    <col min="5" max="8" width="10.875" style="116" hidden="1" customWidth="1"/>
    <col min="9" max="10" width="1.625" style="116" hidden="1" customWidth="1"/>
    <col min="11" max="11" width="40.5" style="116" customWidth="1"/>
    <col min="12" max="12" width="9.625" style="116" customWidth="1"/>
    <col min="13" max="16" width="30.5" style="116" customWidth="1"/>
    <col min="17" max="17" width="1.375" style="116" customWidth="1"/>
    <col min="18" max="18" width="1.375" style="400" hidden="1" customWidth="1"/>
    <col min="19" max="19" width="11" style="117" hidden="1" customWidth="1"/>
    <col min="20" max="35" width="11" style="118" hidden="1" customWidth="1"/>
    <col min="36" max="16384" width="11" style="117" hidden="1"/>
  </cols>
  <sheetData>
    <row r="1" spans="11:16" hidden="1" x14ac:dyDescent="0.2">
      <c r="K1" s="116" t="s">
        <v>89</v>
      </c>
      <c r="M1" s="63">
        <v>7</v>
      </c>
      <c r="N1" s="63">
        <v>5</v>
      </c>
      <c r="O1" s="63">
        <v>5</v>
      </c>
    </row>
    <row r="2" spans="11:16" hidden="1" x14ac:dyDescent="0.2">
      <c r="K2" s="116" t="s">
        <v>204</v>
      </c>
      <c r="M2" s="119">
        <f ca="1">OFFSET(rL2.MainGroupsHead01,rF1.MainGroupSelection,1,1,1)</f>
        <v>0</v>
      </c>
      <c r="N2" s="119" t="str">
        <f ca="1">OFFSET(rL2.MainGroupsHead02,rF1.MainGroupSelection,1,1,1)</f>
        <v>rD1.Knoten05</v>
      </c>
      <c r="O2" s="119" t="str">
        <f ca="1">OFFSET(rL2.MainGroupsHead03,rF1.MainGroupSelection,1,1,1)</f>
        <v>rD1.Knoten05</v>
      </c>
    </row>
    <row r="3" spans="11:16" hidden="1" x14ac:dyDescent="0.2">
      <c r="K3" s="116" t="s">
        <v>36</v>
      </c>
      <c r="M3" s="63">
        <v>6</v>
      </c>
      <c r="N3" s="63">
        <v>3</v>
      </c>
      <c r="O3" s="63">
        <v>3</v>
      </c>
    </row>
    <row r="4" spans="11:16" hidden="1" x14ac:dyDescent="0.2">
      <c r="K4" s="116" t="s">
        <v>83</v>
      </c>
      <c r="M4" s="63">
        <v>4</v>
      </c>
      <c r="N4" s="63">
        <v>0</v>
      </c>
      <c r="O4" s="63">
        <v>0</v>
      </c>
    </row>
    <row r="5" spans="11:16" hidden="1" x14ac:dyDescent="0.2">
      <c r="K5" s="116" t="s">
        <v>37</v>
      </c>
      <c r="M5" s="63">
        <v>1</v>
      </c>
      <c r="N5" s="63">
        <v>1</v>
      </c>
      <c r="O5" s="63">
        <v>1</v>
      </c>
    </row>
    <row r="6" spans="11:16" hidden="1" x14ac:dyDescent="0.2">
      <c r="K6" s="116" t="s">
        <v>502</v>
      </c>
      <c r="M6" s="63"/>
      <c r="N6" s="63">
        <v>2</v>
      </c>
      <c r="O6" s="63">
        <v>2</v>
      </c>
    </row>
    <row r="7" spans="11:16" hidden="1" x14ac:dyDescent="0.2">
      <c r="K7" s="116" t="s">
        <v>503</v>
      </c>
      <c r="M7" s="63">
        <v>2</v>
      </c>
      <c r="N7" s="63">
        <v>2</v>
      </c>
      <c r="O7" s="63"/>
    </row>
    <row r="8" spans="11:16" hidden="1" x14ac:dyDescent="0.2">
      <c r="K8" s="116" t="s">
        <v>146</v>
      </c>
      <c r="M8" s="63">
        <v>1</v>
      </c>
      <c r="N8" s="63">
        <v>0</v>
      </c>
      <c r="O8" s="63">
        <v>1</v>
      </c>
    </row>
    <row r="9" spans="11:16" hidden="1" x14ac:dyDescent="0.2">
      <c r="K9" s="116" t="s">
        <v>147</v>
      </c>
      <c r="M9" s="63">
        <v>1</v>
      </c>
      <c r="N9" s="63">
        <v>1</v>
      </c>
      <c r="O9" s="63">
        <v>3</v>
      </c>
    </row>
    <row r="10" spans="11:16" hidden="1" x14ac:dyDescent="0.2">
      <c r="K10" s="116" t="s">
        <v>38</v>
      </c>
      <c r="M10" s="63">
        <v>2</v>
      </c>
      <c r="N10" s="63">
        <v>2</v>
      </c>
      <c r="O10" s="63">
        <v>5</v>
      </c>
      <c r="P10" s="63">
        <v>4</v>
      </c>
    </row>
    <row r="11" spans="11:16" hidden="1" x14ac:dyDescent="0.2">
      <c r="K11" s="116" t="s">
        <v>39</v>
      </c>
      <c r="M11" s="63">
        <v>1</v>
      </c>
      <c r="N11" s="63">
        <v>1</v>
      </c>
      <c r="O11" s="63">
        <v>1</v>
      </c>
      <c r="P11" s="63">
        <v>1</v>
      </c>
    </row>
    <row r="12" spans="11:16" hidden="1" x14ac:dyDescent="0.2">
      <c r="K12" s="116" t="s">
        <v>40</v>
      </c>
      <c r="M12" s="63">
        <v>4</v>
      </c>
      <c r="N12" s="63">
        <v>3</v>
      </c>
      <c r="O12" s="63">
        <v>1</v>
      </c>
      <c r="P12" s="63">
        <v>3</v>
      </c>
    </row>
    <row r="13" spans="11:16" hidden="1" x14ac:dyDescent="0.2">
      <c r="K13" s="116" t="s">
        <v>379</v>
      </c>
      <c r="N13" s="63">
        <v>1</v>
      </c>
    </row>
    <row r="14" spans="11:16" hidden="1" x14ac:dyDescent="0.2">
      <c r="K14" s="116" t="s">
        <v>516</v>
      </c>
      <c r="N14" s="63">
        <v>3</v>
      </c>
    </row>
    <row r="15" spans="11:16" hidden="1" x14ac:dyDescent="0.2">
      <c r="K15" s="116" t="s">
        <v>389</v>
      </c>
      <c r="N15" s="63">
        <v>1</v>
      </c>
    </row>
    <row r="16" spans="11:16" hidden="1" x14ac:dyDescent="0.2">
      <c r="K16" s="116" t="s">
        <v>482</v>
      </c>
      <c r="O16" s="63">
        <v>1</v>
      </c>
    </row>
    <row r="17" spans="5:37" hidden="1" x14ac:dyDescent="0.2">
      <c r="K17" s="116" t="s">
        <v>501</v>
      </c>
      <c r="P17" s="63">
        <v>1</v>
      </c>
    </row>
    <row r="18" spans="5:37" ht="19.5" x14ac:dyDescent="0.2">
      <c r="K18" s="120"/>
      <c r="L18" s="120"/>
      <c r="M18" s="120"/>
      <c r="N18" s="489"/>
      <c r="O18" s="489"/>
      <c r="P18" s="389"/>
      <c r="Q18" s="121"/>
    </row>
    <row r="19" spans="5:37" x14ac:dyDescent="0.2">
      <c r="K19" s="493" t="s">
        <v>468</v>
      </c>
      <c r="L19" s="493"/>
      <c r="M19" s="494"/>
      <c r="N19" s="492" t="s">
        <v>367</v>
      </c>
      <c r="O19" s="492"/>
      <c r="P19" s="122"/>
      <c r="Q19" s="123"/>
      <c r="R19" s="408"/>
    </row>
    <row r="20" spans="5:37" ht="59.25" customHeight="1" x14ac:dyDescent="0.2">
      <c r="K20" s="493"/>
      <c r="L20" s="493"/>
      <c r="M20" s="494"/>
      <c r="N20" s="492"/>
      <c r="O20" s="492"/>
      <c r="P20" s="124" t="s">
        <v>364</v>
      </c>
      <c r="Q20" s="125"/>
    </row>
    <row r="21" spans="5:37" ht="14.25" customHeight="1" thickBot="1" x14ac:dyDescent="0.25">
      <c r="K21" s="126"/>
      <c r="L21" s="126"/>
      <c r="M21" s="126"/>
      <c r="N21" s="126"/>
      <c r="O21" s="127"/>
      <c r="P21" s="128"/>
      <c r="Q21" s="129"/>
    </row>
    <row r="22" spans="5:37" ht="20.25" customHeight="1" thickTop="1" thickBot="1" x14ac:dyDescent="0.25">
      <c r="K22" s="130" t="s">
        <v>205</v>
      </c>
      <c r="L22" s="490"/>
      <c r="M22" s="490"/>
      <c r="N22" s="490"/>
      <c r="O22" s="490"/>
      <c r="P22" s="490"/>
      <c r="Q22" s="131"/>
    </row>
    <row r="23" spans="5:37" ht="16.5" thickTop="1" thickBot="1" x14ac:dyDescent="0.25">
      <c r="K23" s="132" t="s">
        <v>206</v>
      </c>
      <c r="L23" s="490"/>
      <c r="M23" s="490"/>
      <c r="N23" s="490"/>
      <c r="O23" s="490"/>
      <c r="P23" s="490"/>
      <c r="Q23" s="133"/>
      <c r="V23" s="134" t="s">
        <v>329</v>
      </c>
      <c r="X23" s="134" t="s">
        <v>484</v>
      </c>
    </row>
    <row r="24" spans="5:37" ht="16.5" thickTop="1" thickBot="1" x14ac:dyDescent="0.25">
      <c r="K24" s="132" t="s">
        <v>207</v>
      </c>
      <c r="L24" s="491"/>
      <c r="M24" s="490"/>
      <c r="N24" s="490"/>
      <c r="O24" s="490"/>
      <c r="P24" s="490"/>
      <c r="Q24" s="133"/>
      <c r="U24" s="134" t="s">
        <v>136</v>
      </c>
      <c r="V24" s="135">
        <v>1.5</v>
      </c>
      <c r="X24" s="136">
        <f ca="1">IF(rF1.CheckBasePlate=1,0,IF(rF1.CheckFoundation=1,rF1.PlotFoundationHeight,INDEX(rF1.WallHeight,1,1)))</f>
        <v>3</v>
      </c>
    </row>
    <row r="25" spans="5:37" ht="16.5" thickTop="1" thickBot="1" x14ac:dyDescent="0.25">
      <c r="K25" s="132" t="s">
        <v>208</v>
      </c>
      <c r="L25" s="490"/>
      <c r="M25" s="490"/>
      <c r="N25" s="490"/>
      <c r="O25" s="490"/>
      <c r="P25" s="490"/>
      <c r="Q25" s="133"/>
      <c r="U25" s="134" t="s">
        <v>2</v>
      </c>
      <c r="V25" s="135">
        <v>1</v>
      </c>
    </row>
    <row r="26" spans="5:37" ht="15" thickTop="1" x14ac:dyDescent="0.2">
      <c r="K26" s="137" t="s">
        <v>209</v>
      </c>
      <c r="L26" s="138"/>
      <c r="M26" s="138"/>
      <c r="N26" s="138"/>
      <c r="O26" s="138"/>
      <c r="P26" s="138"/>
      <c r="Q26" s="138"/>
    </row>
    <row r="27" spans="5:37" x14ac:dyDescent="0.2">
      <c r="E27" s="139"/>
      <c r="F27" s="139"/>
      <c r="G27" s="139"/>
      <c r="K27" s="140" t="s">
        <v>210</v>
      </c>
      <c r="L27" s="140"/>
      <c r="M27" s="140"/>
      <c r="N27" s="140"/>
      <c r="O27" s="140"/>
      <c r="P27" s="140"/>
      <c r="Q27" s="141"/>
    </row>
    <row r="28" spans="5:37" ht="15" thickBot="1" x14ac:dyDescent="0.25">
      <c r="E28" s="139"/>
      <c r="F28" s="139"/>
      <c r="G28" s="139"/>
      <c r="K28" s="142" t="s">
        <v>211</v>
      </c>
      <c r="L28" s="142"/>
      <c r="M28" s="143" t="s">
        <v>485</v>
      </c>
      <c r="N28" s="144" t="s">
        <v>212</v>
      </c>
      <c r="O28" s="143" t="s">
        <v>486</v>
      </c>
      <c r="P28" s="142"/>
      <c r="Q28" s="142"/>
      <c r="R28" s="401"/>
    </row>
    <row r="29" spans="5:37" ht="17.25" thickTop="1" thickBot="1" x14ac:dyDescent="0.25">
      <c r="E29" s="145">
        <f>IF(rF1.MainGroupSelection01=7,1,0)</f>
        <v>1</v>
      </c>
      <c r="G29" s="145">
        <f>IF(rF1.MainGroupSelection03=7,1,0)</f>
        <v>0</v>
      </c>
      <c r="K29" s="146" t="s">
        <v>213</v>
      </c>
      <c r="L29" s="146"/>
      <c r="M29" s="129"/>
      <c r="N29" s="147"/>
      <c r="O29" s="129"/>
      <c r="P29" s="148" t="s">
        <v>254</v>
      </c>
      <c r="Q29" s="131"/>
      <c r="S29" s="149" t="s">
        <v>328</v>
      </c>
      <c r="T29" s="150"/>
      <c r="U29" s="151"/>
      <c r="V29" s="151"/>
      <c r="W29" s="151"/>
      <c r="X29" s="151"/>
      <c r="Y29" s="151"/>
      <c r="Z29" s="151"/>
      <c r="AA29" s="152"/>
      <c r="AB29" s="149" t="s">
        <v>327</v>
      </c>
      <c r="AC29" s="151"/>
      <c r="AD29" s="150"/>
      <c r="AE29" s="151"/>
      <c r="AF29" s="151"/>
      <c r="AG29" s="151"/>
      <c r="AH29" s="151"/>
      <c r="AI29" s="151"/>
      <c r="AJ29" s="152"/>
      <c r="AK29" s="118"/>
    </row>
    <row r="30" spans="5:37" ht="15.75" thickTop="1" thickBot="1" x14ac:dyDescent="0.25">
      <c r="E30" s="145">
        <f>IF(rF1.MainGroupSelection01=8,1,0)</f>
        <v>0</v>
      </c>
      <c r="K30" s="146" t="s">
        <v>214</v>
      </c>
      <c r="L30" s="146"/>
      <c r="M30" s="153"/>
      <c r="N30" s="154"/>
      <c r="O30" s="153"/>
      <c r="P30" s="131"/>
      <c r="Q30" s="131"/>
      <c r="S30" s="155"/>
      <c r="T30" s="156" t="s">
        <v>116</v>
      </c>
      <c r="U30" s="157"/>
      <c r="V30" s="158">
        <v>0</v>
      </c>
      <c r="W30" s="159">
        <v>1</v>
      </c>
      <c r="X30" s="159">
        <v>2</v>
      </c>
      <c r="Y30" s="159">
        <v>3</v>
      </c>
      <c r="Z30" s="159">
        <v>4</v>
      </c>
      <c r="AA30" s="160">
        <v>5</v>
      </c>
      <c r="AB30" s="161"/>
      <c r="AC30" s="156" t="s">
        <v>116</v>
      </c>
      <c r="AD30" s="157"/>
      <c r="AE30" s="158">
        <v>0</v>
      </c>
      <c r="AF30" s="159">
        <v>1</v>
      </c>
      <c r="AG30" s="159">
        <v>2</v>
      </c>
      <c r="AH30" s="159">
        <v>3</v>
      </c>
      <c r="AI30" s="159">
        <v>4</v>
      </c>
      <c r="AJ30" s="160">
        <v>5</v>
      </c>
      <c r="AK30" s="118"/>
    </row>
    <row r="31" spans="5:37" ht="15.75" thickTop="1" thickBot="1" x14ac:dyDescent="0.25">
      <c r="K31" s="146" t="s">
        <v>462</v>
      </c>
      <c r="L31" s="146"/>
      <c r="M31" s="153"/>
      <c r="N31" s="154"/>
      <c r="O31" s="153"/>
      <c r="P31" s="131"/>
      <c r="Q31" s="131"/>
      <c r="S31" s="155" t="str">
        <f ca="1">IF(OR(rF1.CheckFoundation,rF1.CheckBasePlate),"","W1")</f>
        <v>W1</v>
      </c>
      <c r="T31" s="158" t="str">
        <f ca="1">IF(OR(rF1.CheckFoundation,rF1.CheckBasePlate),"",rP2.OutputWall01)</f>
        <v>Wand 1</v>
      </c>
      <c r="U31" s="162" t="s">
        <v>93</v>
      </c>
      <c r="V31" s="163">
        <f ca="1">IF(rF1.CheckBasePlate=1,0,IF(rF1.CheckFoundation=1,rF1.PlotFoundationWidth/2,INDEX(rF1.WallThickness,1,1)/2))</f>
        <v>0.125</v>
      </c>
      <c r="W31" s="163">
        <f ca="1">IF(rF1.CheckBasePlate=1,0,IF(rF1.CheckFoundation=1,rF1.PlotFoundationWidth/2,INDEX(rF1.WallThickness,1,1)/2))</f>
        <v>0.125</v>
      </c>
      <c r="X31" s="163">
        <f ca="1">IF(rF1.CheckBasePlate=1,0,IF(rF1.CheckFoundation=1,-rF1.PlotFoundationWidth/2,-INDEX(rF1.WallThickness,1,1)/2))</f>
        <v>-0.125</v>
      </c>
      <c r="Y31" s="163">
        <f ca="1">IF(rF1.CheckBasePlate=1,0,IF(rF1.CheckFoundation=1,-rF1.PlotFoundationWidth/2,-INDEX(rF1.WallThickness,1,1)/2))</f>
        <v>-0.125</v>
      </c>
      <c r="Z31" s="163">
        <f ca="1">IF(rF1.CheckBasePlate=1,0,IF(rF1.CheckFoundation=1,rF1.PlotFoundationWidth/2,INDEX(rF1.WallThickness,1,1)/2))</f>
        <v>0.125</v>
      </c>
      <c r="AA31" s="164">
        <f ca="1">IF(rF1.CheckBasePlate=1,0,IF(rF1.CheckFoundation=1,rF1.PlotFoundationWidth/2,INDEX(rF1.WallThickness,1,1)/2))</f>
        <v>0.125</v>
      </c>
      <c r="AB31" s="165"/>
      <c r="AC31" s="158" t="str">
        <f>rP2.OutputWall01</f>
        <v>Wand 1</v>
      </c>
      <c r="AD31" s="162" t="s">
        <v>93</v>
      </c>
      <c r="AE31" s="163">
        <f>INDEX(rF1.WallLenght,1,1)/2</f>
        <v>2.7</v>
      </c>
      <c r="AF31" s="163">
        <f>INDEX(rF1.WallLenght,1,1)/2</f>
        <v>2.7</v>
      </c>
      <c r="AG31" s="163">
        <f>-INDEX(rF1.WallLenght,1,1)/2</f>
        <v>-2.7</v>
      </c>
      <c r="AH31" s="163">
        <f>-INDEX(rF1.WallLenght,1,1)/2</f>
        <v>-2.7</v>
      </c>
      <c r="AI31" s="163">
        <f>INDEX(rF1.WallLenght,1,1)/2</f>
        <v>2.7</v>
      </c>
      <c r="AJ31" s="164">
        <f>INDEX(rF1.WallLenght,1,1)/2</f>
        <v>2.7</v>
      </c>
      <c r="AK31" s="118"/>
    </row>
    <row r="32" spans="5:37" ht="15.75" thickTop="1" thickBot="1" x14ac:dyDescent="0.25">
      <c r="K32" s="146" t="s">
        <v>481</v>
      </c>
      <c r="L32" s="146"/>
      <c r="M32" s="153"/>
      <c r="N32" s="154"/>
      <c r="O32" s="153"/>
      <c r="P32" s="131"/>
      <c r="Q32" s="131"/>
      <c r="S32" s="155"/>
      <c r="T32" s="166"/>
      <c r="U32" s="167" t="s">
        <v>94</v>
      </c>
      <c r="V32" s="168">
        <v>0</v>
      </c>
      <c r="W32" s="168">
        <f ca="1">IF(rF1.CheckBasePlate=1,0,rF1.PlotHeightFirstFloor)</f>
        <v>3</v>
      </c>
      <c r="X32" s="168">
        <f ca="1">IF(rF1.CheckBasePlate=1,0,rF1.PlotHeightFirstFloor)</f>
        <v>3</v>
      </c>
      <c r="Y32" s="168">
        <v>0</v>
      </c>
      <c r="Z32" s="168">
        <v>0</v>
      </c>
      <c r="AA32" s="169">
        <f ca="1">IF(rF1.CheckBasePlate=1,0,IF(rF1.CheckFoundation=1,rF1.PlotFoundationHeight/2,INDEX(rF1.WallHeight,1,1)/2))</f>
        <v>1.5</v>
      </c>
      <c r="AB32" s="165"/>
      <c r="AC32" s="166"/>
      <c r="AD32" s="167" t="s">
        <v>94</v>
      </c>
      <c r="AE32" s="168">
        <v>0</v>
      </c>
      <c r="AF32" s="168">
        <f ca="1">IF(rF1.CheckBasePlate=1,0,rF1.PlotHeightFirstFloor)</f>
        <v>3</v>
      </c>
      <c r="AG32" s="168">
        <f ca="1">IF(rF1.CheckBasePlate=1,0,rF1.PlotHeightFirstFloor)</f>
        <v>3</v>
      </c>
      <c r="AH32" s="168">
        <v>0</v>
      </c>
      <c r="AI32" s="168">
        <v>0</v>
      </c>
      <c r="AJ32" s="169">
        <f ca="1">IF(rF1.CheckBasePlate=1,0,IF(rF1.CheckFoundation=1,rF1.PlotFoundationHeight/2,INDEX(rF1.WallHeight,1,1)/2))</f>
        <v>1.5</v>
      </c>
      <c r="AK32" s="118"/>
    </row>
    <row r="33" spans="5:37" ht="17.25" thickTop="1" thickBot="1" x14ac:dyDescent="0.25">
      <c r="K33" s="170" t="s">
        <v>215</v>
      </c>
      <c r="L33" s="146" t="s">
        <v>43</v>
      </c>
      <c r="M33" s="171" t="str">
        <f ca="1">IF(rF1.CheckFoundation=1,"-",rF1.MasonryStrenghtChar01)</f>
        <v>-</v>
      </c>
      <c r="N33" s="172">
        <f ca="1">rF1.MasonryStrenghtChar02</f>
        <v>5.8</v>
      </c>
      <c r="O33" s="171">
        <f ca="1">IF(rF1.CheckWallNotExisting=1,"-",rF1.MasonryStrenghtChar03)</f>
        <v>5.8</v>
      </c>
      <c r="P33" s="131"/>
      <c r="Q33" s="131"/>
      <c r="S33" s="155" t="s">
        <v>470</v>
      </c>
      <c r="T33" s="158" t="str">
        <f>rP2.OutputWall02</f>
        <v>Wand 2</v>
      </c>
      <c r="U33" s="162" t="s">
        <v>93</v>
      </c>
      <c r="V33" s="163">
        <f ca="1">rF1.WallThickness02/2</f>
        <v>0.1825</v>
      </c>
      <c r="W33" s="163">
        <f ca="1">rF1.WallThickness02/2</f>
        <v>0.1825</v>
      </c>
      <c r="X33" s="163">
        <f ca="1">-rF1.WallThickness02/2</f>
        <v>-0.1825</v>
      </c>
      <c r="Y33" s="163">
        <f ca="1">-rF1.WallThickness02/2</f>
        <v>-0.1825</v>
      </c>
      <c r="Z33" s="163">
        <f ca="1">rF1.WallThickness02/2</f>
        <v>0.1825</v>
      </c>
      <c r="AA33" s="164">
        <f ca="1">rF1.WallThickness02/2</f>
        <v>0.1825</v>
      </c>
      <c r="AB33" s="165"/>
      <c r="AC33" s="158" t="str">
        <f>rP2.OutputWall02</f>
        <v>Wand 2</v>
      </c>
      <c r="AD33" s="162" t="s">
        <v>93</v>
      </c>
      <c r="AE33" s="163">
        <f>INDEX(rF1.WallLenght,1,2)/2</f>
        <v>0.65</v>
      </c>
      <c r="AF33" s="163">
        <f>INDEX(rF1.WallLenght,1,2)/2</f>
        <v>0.65</v>
      </c>
      <c r="AG33" s="163">
        <f>-INDEX(rF1.WallLenght,1,2)/2</f>
        <v>-0.65</v>
      </c>
      <c r="AH33" s="163">
        <f>-INDEX(rF1.WallLenght,1,2)/2</f>
        <v>-0.65</v>
      </c>
      <c r="AI33" s="163">
        <f>INDEX(rF1.WallLenght,1,2)/2</f>
        <v>0.65</v>
      </c>
      <c r="AJ33" s="164">
        <f>INDEX(rF1.WallLenght,1,2)/2</f>
        <v>0.65</v>
      </c>
      <c r="AK33" s="118"/>
    </row>
    <row r="34" spans="5:37" ht="15.75" thickTop="1" thickBot="1" x14ac:dyDescent="0.25">
      <c r="K34" s="146" t="s">
        <v>216</v>
      </c>
      <c r="L34" s="146" t="s">
        <v>42</v>
      </c>
      <c r="M34" s="173">
        <f ca="1">rF1.WallThickness</f>
        <v>0.25</v>
      </c>
      <c r="N34" s="174">
        <f ca="1">rF1.WallThickness</f>
        <v>0.36499999999999999</v>
      </c>
      <c r="O34" s="173">
        <f ca="1">rF1.WallThickness</f>
        <v>0.36499999999999999</v>
      </c>
      <c r="P34" s="148"/>
      <c r="Q34" s="175"/>
      <c r="R34" s="117"/>
      <c r="S34" s="155"/>
      <c r="T34" s="166"/>
      <c r="U34" s="167" t="s">
        <v>94</v>
      </c>
      <c r="V34" s="168">
        <f ca="1">rF1.PlotHeightFirstFloor+IF(rF1.CheckSlabExisting03,MAX(INDEX(rF1.SlabThickness,1,1),INDEX(rF1.SlabThickness,1,3)),INDEX(rF1.SlabThickness,1,1))</f>
        <v>3.22</v>
      </c>
      <c r="W34" s="168">
        <f ca="1">rF1.PlotHeightFirstFloor+IF(rF1.CheckSlabExisting03,MAX(INDEX(rF1.SlabThickness,1,1),INDEX(rF1.SlabThickness,1,3)),INDEX(rF1.SlabThickness,1,1))+rF1.WallHeight02</f>
        <v>6.62</v>
      </c>
      <c r="X34" s="168">
        <f ca="1">rF1.PlotHeightFirstFloor+IF(rF1.CheckSlabExisting03,MAX(INDEX(rF1.SlabThickness,1,1),INDEX(rF1.SlabThickness,1,3)),INDEX(rF1.SlabThickness,1,1))+rF1.WallHeight02</f>
        <v>6.62</v>
      </c>
      <c r="Y34" s="168">
        <f ca="1">rF1.PlotHeightFirstFloor+IF(rF1.CheckSlabExisting03,MAX(INDEX(rF1.SlabThickness,1,1),INDEX(rF1.SlabThickness,1,3)),INDEX(rF1.SlabThickness,1,1))</f>
        <v>3.22</v>
      </c>
      <c r="Z34" s="168">
        <f ca="1">rF1.PlotHeightFirstFloor+IF(rF1.CheckSlabExisting03,MAX(INDEX(rF1.SlabThickness,1,1),INDEX(rF1.SlabThickness,1,3)),INDEX(rF1.SlabThickness,1,1))</f>
        <v>3.22</v>
      </c>
      <c r="AA34" s="168">
        <f ca="1">rF1.PlotHeightFirstFloor+IF(rF1.CheckSlabExisting03,MAX(INDEX(rF1.SlabThickness,1,1),INDEX(rF1.SlabThickness,1,3)),INDEX(rF1.SlabThickness,1,1))+rF1.WallHeight02/2</f>
        <v>4.92</v>
      </c>
      <c r="AB34" s="165"/>
      <c r="AC34" s="166"/>
      <c r="AD34" s="167" t="s">
        <v>94</v>
      </c>
      <c r="AE34" s="168">
        <f ca="1">rF1.PlotHeightFirstFloor+IF(rF1.CheckSlabExisting03,MAX(INDEX(rF1.SlabThickness,1,1),INDEX(rF1.SlabThickness,1,3)),INDEX(rF1.SlabThickness,1,1))</f>
        <v>3.22</v>
      </c>
      <c r="AF34" s="168">
        <f ca="1">rF1.PlotHeightFirstFloor+IF(rF1.CheckSlabExisting03,MAX(INDEX(rF1.SlabThickness,1,1),INDEX(rF1.SlabThickness,1,3)),INDEX(rF1.SlabThickness,1,1))+rF1.WallHeight02</f>
        <v>6.62</v>
      </c>
      <c r="AG34" s="168">
        <f ca="1">rF1.PlotHeightFirstFloor+IF(rF1.CheckSlabExisting03,MAX(INDEX(rF1.SlabThickness,1,1),INDEX(rF1.SlabThickness,1,3)),INDEX(rF1.SlabThickness,1,1))+rF1.WallHeight02</f>
        <v>6.62</v>
      </c>
      <c r="AH34" s="168">
        <f ca="1">rF1.PlotHeightFirstFloor+IF(rF1.CheckSlabExisting03,MAX(INDEX(rF1.SlabThickness,1,1),INDEX(rF1.SlabThickness,1,3)),INDEX(rF1.SlabThickness,1,1))</f>
        <v>3.22</v>
      </c>
      <c r="AI34" s="168">
        <f ca="1">rF1.PlotHeightFirstFloor+IF(rF1.CheckSlabExisting03,MAX(INDEX(rF1.SlabThickness,1,1),INDEX(rF1.SlabThickness,1,3)),INDEX(rF1.SlabThickness,1,1))</f>
        <v>3.22</v>
      </c>
      <c r="AJ34" s="169">
        <f ca="1">rF1.PlotHeightFirstFloor+IF(rF1.CheckSlabExisting03,MAX(INDEX(rF1.SlabThickness,1,1),INDEX(rF1.SlabThickness,1,3)),INDEX(rF1.SlabThickness,1,1))+rF1.WallHeight02/2</f>
        <v>4.92</v>
      </c>
      <c r="AK34" s="118"/>
    </row>
    <row r="35" spans="5:37" ht="15.75" thickTop="1" thickBot="1" x14ac:dyDescent="0.25">
      <c r="K35" s="146" t="s">
        <v>563</v>
      </c>
      <c r="L35" s="146" t="s">
        <v>2</v>
      </c>
      <c r="M35" s="83">
        <v>3</v>
      </c>
      <c r="N35" s="84">
        <v>3.4</v>
      </c>
      <c r="O35" s="83">
        <v>3.4</v>
      </c>
      <c r="P35" s="148" t="s">
        <v>266</v>
      </c>
      <c r="Q35" s="131"/>
      <c r="S35" s="155" t="str">
        <f>IF(rF1.CheckWallNotExisting=1,"","W3")</f>
        <v>W3</v>
      </c>
      <c r="T35" s="158" t="str">
        <f>IF(rF1.CheckWallNotExisting=1,"",rP2.OutputWall03)</f>
        <v>Wand 3</v>
      </c>
      <c r="U35" s="162" t="s">
        <v>93</v>
      </c>
      <c r="V35" s="163">
        <f ca="1">IF(rF1.CheckWallNotExisting=1,0,INDEX(rF1.WallThickness,1,3)/2)</f>
        <v>0.1825</v>
      </c>
      <c r="W35" s="163">
        <f ca="1">IF(rF1.CheckWallNotExisting=1,0,INDEX(rF1.WallThickness,1,3)/2)</f>
        <v>0.1825</v>
      </c>
      <c r="X35" s="163">
        <f ca="1">IF(rF1.CheckWallNotExisting=1,0,-INDEX(rF1.WallThickness,1,3)/2)</f>
        <v>-0.1825</v>
      </c>
      <c r="Y35" s="163">
        <f ca="1">IF(rF1.CheckWallNotExisting=1,0,-INDEX(rF1.WallThickness,1,3)/2)</f>
        <v>-0.1825</v>
      </c>
      <c r="Z35" s="163">
        <f ca="1">IF(rF1.CheckWallNotExisting=1,0,INDEX(rF1.WallThickness,1,3)/2)</f>
        <v>0.1825</v>
      </c>
      <c r="AA35" s="164">
        <f ca="1">IF(rF1.CheckWallNotExisting=1,0,INDEX(rF1.WallThickness,1,3)/2)</f>
        <v>0.1825</v>
      </c>
      <c r="AB35" s="165"/>
      <c r="AC35" s="158" t="str">
        <f>IF(rF1.CheckWallNotExisting=1,"",rP2.OutputWall03)</f>
        <v>Wand 3</v>
      </c>
      <c r="AD35" s="162" t="s">
        <v>93</v>
      </c>
      <c r="AE35" s="163">
        <f>IF(rF1.CheckWallNotExisting=1,0,INDEX(rF1.WallLenght,1,3)/2)</f>
        <v>0.65</v>
      </c>
      <c r="AF35" s="163">
        <f>IF(rF1.CheckWallNotExisting=1,0,INDEX(rF1.WallLenght,1,3)/2)</f>
        <v>0.65</v>
      </c>
      <c r="AG35" s="163">
        <f>IF(rF1.CheckWallNotExisting=1,0,-INDEX(rF1.WallLenght,1,3)/2)</f>
        <v>-0.65</v>
      </c>
      <c r="AH35" s="163">
        <f>IF(rF1.CheckWallNotExisting=1,0,-INDEX(rF1.WallLenght,1,3)/2)</f>
        <v>-0.65</v>
      </c>
      <c r="AI35" s="163">
        <f>IF(rF1.CheckWallNotExisting=1,0,INDEX(rF1.WallLenght,1,3)/2)</f>
        <v>0.65</v>
      </c>
      <c r="AJ35" s="164">
        <f>IF(rF1.CheckWallNotExisting=1,0,INDEX(rF1.WallLenght,1,3)/2)</f>
        <v>0.65</v>
      </c>
      <c r="AK35" s="118"/>
    </row>
    <row r="36" spans="5:37" ht="15.75" thickTop="1" thickBot="1" x14ac:dyDescent="0.25">
      <c r="K36" s="146" t="s">
        <v>218</v>
      </c>
      <c r="L36" s="146" t="s">
        <v>85</v>
      </c>
      <c r="M36" s="83">
        <v>5.4</v>
      </c>
      <c r="N36" s="84">
        <v>1.3</v>
      </c>
      <c r="O36" s="83">
        <v>1.3</v>
      </c>
      <c r="P36" s="131"/>
      <c r="Q36" s="131"/>
      <c r="S36" s="155"/>
      <c r="T36" s="166"/>
      <c r="U36" s="167" t="s">
        <v>94</v>
      </c>
      <c r="V36" s="168">
        <f ca="1">IF(rF1.CheckWallNotExisting,0,rF1.PlotHeightFirstFloor+IF(rF1.CheckSlabExisting03,MAX(INDEX(rF1.SlabThickness,1,1),INDEX(rF1.SlabThickness,1,3)),INDEX(rF1.SlabThickness,1,1))+rF1.WallHeight02+IF(rF1.CheckSlabExisting04,MAX(INDEX(rF1.SlabThickness,1,2),INDEX(rF1.SlabThickness,1,4)),INDEX(rF1.SlabThickness,1,2)))</f>
        <v>6.84</v>
      </c>
      <c r="W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10.24</v>
      </c>
      <c r="X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10.24</v>
      </c>
      <c r="Y36" s="168">
        <f ca="1">IF(rF1.CheckWallNotExisting,0,rF1.PlotHeightFirstFloor+IF(rF1.CheckSlabExisting03,MAX(INDEX(rF1.SlabThickness,1,1),INDEX(rF1.SlabThickness,1,3)),INDEX(rF1.SlabThickness,1,1))+rF1.WallHeight02+IF(rF1.CheckSlabExisting04,MAX(INDEX(rF1.SlabThickness,1,2),INDEX(rF1.SlabThickness,1,4)),INDEX(rF1.SlabThickness,1,2)))</f>
        <v>6.84</v>
      </c>
      <c r="Z36" s="168">
        <f ca="1">IF(rF1.CheckWallNotExisting,0,rF1.PlotHeightFirstFloor+IF(rF1.CheckSlabExisting03,MAX(INDEX(rF1.SlabThickness,1,1),INDEX(rF1.SlabThickness,1,3)),INDEX(rF1.SlabThickness,1,1))+rF1.WallHeight02+IF(rF1.CheckSlabExisting04,MAX(INDEX(rF1.SlabThickness,1,2),INDEX(rF1.SlabThickness,1,4)),INDEX(rF1.SlabThickness,1,2)))</f>
        <v>6.84</v>
      </c>
      <c r="AA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2)</f>
        <v>8.5399999999999991</v>
      </c>
      <c r="AB36" s="165"/>
      <c r="AC36" s="166"/>
      <c r="AD36" s="167" t="s">
        <v>94</v>
      </c>
      <c r="AE36" s="168">
        <f ca="1">IF(rF1.CheckWallNotExisting,0,rF1.PlotHeightFirstFloor+IF(rF1.CheckSlabExisting03,MAX(INDEX(rF1.SlabThickness,1,1),INDEX(rF1.SlabThickness,1,3)),INDEX(rF1.SlabThickness,1,1))+rF1.WallHeight02+IF(rF1.CheckSlabExisting04,MAX(INDEX(rF1.SlabThickness,1,2),INDEX(rF1.SlabThickness,1,4)),INDEX(rF1.SlabThickness,1,2)))</f>
        <v>6.84</v>
      </c>
      <c r="AF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10.24</v>
      </c>
      <c r="AG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10.24</v>
      </c>
      <c r="AH36" s="168">
        <f ca="1">IF(rF1.CheckWallNotExisting,0,rF1.PlotHeightFirstFloor+IF(rF1.CheckSlabExisting03,MAX(INDEX(rF1.SlabThickness,1,1),INDEX(rF1.SlabThickness,1,3)),INDEX(rF1.SlabThickness,1,1))+rF1.WallHeight02+IF(rF1.CheckSlabExisting04,MAX(INDEX(rF1.SlabThickness,1,2),INDEX(rF1.SlabThickness,1,4)),INDEX(rF1.SlabThickness,1,2)))</f>
        <v>6.84</v>
      </c>
      <c r="AI36" s="168">
        <f ca="1">IF(rF1.CheckWallNotExisting,0,rF1.PlotHeightFirstFloor+IF(rF1.CheckSlabExisting03,MAX(INDEX(rF1.SlabThickness,1,1),INDEX(rF1.SlabThickness,1,3)),INDEX(rF1.SlabThickness,1,1))+rF1.WallHeight02+IF(rF1.CheckSlabExisting04,MAX(INDEX(rF1.SlabThickness,1,2),INDEX(rF1.SlabThickness,1,4)),INDEX(rF1.SlabThickness,1,2)))</f>
        <v>6.84</v>
      </c>
      <c r="AJ36" s="169">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2)</f>
        <v>8.5399999999999991</v>
      </c>
      <c r="AK36" s="118"/>
    </row>
    <row r="37" spans="5:37" ht="15.75" thickTop="1" thickBot="1" x14ac:dyDescent="0.25">
      <c r="K37" s="146" t="s">
        <v>376</v>
      </c>
      <c r="L37" s="146"/>
      <c r="M37" s="176"/>
      <c r="N37" s="177"/>
      <c r="O37" s="176"/>
      <c r="P37" s="131"/>
      <c r="Q37" s="131"/>
      <c r="S37" s="155"/>
      <c r="AA37" s="178"/>
      <c r="AB37" s="165"/>
      <c r="AJ37" s="178"/>
      <c r="AK37" s="118"/>
    </row>
    <row r="38" spans="5:37" ht="15.75" thickTop="1" thickBot="1" x14ac:dyDescent="0.25">
      <c r="E38" s="145" t="b">
        <f>IF(rF1.FireResClassSelection=1,TRUE,FALSE)</f>
        <v>0</v>
      </c>
      <c r="F38" s="145" t="b">
        <f>IF(AND(rF1.WallLenght02&lt;rP1.MaxLengthFireOutput,NOT(rF1.FireResNN)),TRUE,FALSE)</f>
        <v>0</v>
      </c>
      <c r="G38" s="145" t="b">
        <f ca="1">IF(AND(MIN(rF1.BearingDepthBottomRelated,rF1.BearingDepthTopRelated)&lt;rP1.MinBearingDepthFire,NOT(rF1.FireResNN)),TRUE,FALSE)</f>
        <v>0</v>
      </c>
      <c r="K38" s="146" t="s">
        <v>568</v>
      </c>
      <c r="L38" s="146"/>
      <c r="M38" s="388" t="str">
        <f ca="1">IF(rF1.CheckFireResManual02,rP2.OutputFireProofManual02,IF(rF1.CheckFireResColumn,rP2.FireProofManual,""))</f>
        <v/>
      </c>
      <c r="N38" s="177"/>
      <c r="O38" s="387"/>
      <c r="P38" s="131"/>
      <c r="Q38" s="131"/>
      <c r="S38" s="155" t="s">
        <v>471</v>
      </c>
      <c r="T38" s="158" t="str">
        <f>rP2.OutputSlab01</f>
        <v>Decke 1</v>
      </c>
      <c r="U38" s="162" t="s">
        <v>93</v>
      </c>
      <c r="V38" s="163">
        <f ca="1">rF1.DistanceBottom02-rF1.WallThickness02/2</f>
        <v>-0.14750000000000002</v>
      </c>
      <c r="W38" s="163">
        <f ca="1">rF1.DistanceBottom02-rF1.WallThickness02/2</f>
        <v>-0.14750000000000002</v>
      </c>
      <c r="X38" s="163">
        <f ca="1">rF1.WallThickness02/2+INDEX(rF1.SlabSpanPerpendicular,1,1)</f>
        <v>6.0324999999999998</v>
      </c>
      <c r="Y38" s="163">
        <f ca="1">rF1.WallThickness02/2+INDEX(rF1.SlabSpanPerpendicular,1,1)</f>
        <v>6.0324999999999998</v>
      </c>
      <c r="Z38" s="163">
        <f ca="1">rF1.WallThickness02/2+INDEX(rF1.SlabSpanPerpendicular,1,1)/2</f>
        <v>3.1074999999999999</v>
      </c>
      <c r="AA38" s="164">
        <f ca="1">rF1.DistanceBottom02-rF1.WallThickness02/2</f>
        <v>-0.14750000000000002</v>
      </c>
      <c r="AB38" s="165"/>
      <c r="AC38" s="158" t="str">
        <f>rP2.OutputSlab01</f>
        <v>Decke 1</v>
      </c>
      <c r="AD38" s="162" t="s">
        <v>93</v>
      </c>
      <c r="AE38" s="163">
        <f>-INDEX(rF1.SlabInfluenceWidth,1,1)/2</f>
        <v>-2.7</v>
      </c>
      <c r="AF38" s="163">
        <f>INDEX(rF1.SlabInfluenceWidth,1,1)/2</f>
        <v>2.7</v>
      </c>
      <c r="AG38" s="163">
        <f>INDEX(rF1.SlabInfluenceWidth,1,1)/2</f>
        <v>2.7</v>
      </c>
      <c r="AH38" s="163">
        <f>-INDEX(rF1.SlabInfluenceWidth,1,1)/2</f>
        <v>-2.7</v>
      </c>
      <c r="AI38" s="163">
        <f>-INDEX(rF1.SlabInfluenceWidth,1,1)/2</f>
        <v>-2.7</v>
      </c>
      <c r="AJ38" s="164">
        <f>(INDEX(rF1.SlabInfluenceWidth,1,1)-(INDEX(rF1.SlabInfluenceWidth,1,1)-INDEX(rF1.WallLenght,1,1)))/4</f>
        <v>1.35</v>
      </c>
      <c r="AK38" s="118"/>
    </row>
    <row r="39" spans="5:37" ht="15.75" thickTop="1" thickBot="1" x14ac:dyDescent="0.25">
      <c r="K39" s="170" t="s">
        <v>495</v>
      </c>
      <c r="L39" s="146"/>
      <c r="M39" s="153"/>
      <c r="N39" s="154"/>
      <c r="O39" s="153"/>
      <c r="P39" s="131"/>
      <c r="Q39" s="131"/>
      <c r="S39" s="155"/>
      <c r="T39" s="166"/>
      <c r="U39" s="167" t="s">
        <v>94</v>
      </c>
      <c r="V39" s="168">
        <f ca="1">rF1.PlotHeightFirstFloor+IF(rF1.CheckSlabExisting03,MIN(INDEX(rF1.SlabThickness,1,1),INDEX(rF1.SlabThickness,1,3)))</f>
        <v>3</v>
      </c>
      <c r="W39" s="168">
        <f ca="1">rF1.PlotHeightFirstFloor+INDEX(rF1.SlabThickness,1,1)</f>
        <v>3.22</v>
      </c>
      <c r="X39" s="168">
        <f ca="1">rF1.PlotHeightFirstFloor+INDEX(rF1.SlabThickness,1,1)</f>
        <v>3.22</v>
      </c>
      <c r="Y39" s="168">
        <f ca="1">rF1.PlotHeightFirstFloor</f>
        <v>3</v>
      </c>
      <c r="Z39" s="168">
        <f ca="1">rF1.PlotHeightFirstFloor</f>
        <v>3</v>
      </c>
      <c r="AA39" s="169">
        <f ca="1">rF1.PlotHeightFirstFloor</f>
        <v>3</v>
      </c>
      <c r="AB39" s="165"/>
      <c r="AC39" s="166"/>
      <c r="AD39" s="167" t="s">
        <v>94</v>
      </c>
      <c r="AE39" s="168">
        <f ca="1">rF1.PlotHeightFirstFloor</f>
        <v>3</v>
      </c>
      <c r="AF39" s="168">
        <f ca="1">rF1.PlotHeightFirstFloor</f>
        <v>3</v>
      </c>
      <c r="AG39" s="168">
        <f ca="1">rF1.PlotHeightFirstFloor+IF(rF1.CheckSlabExisting03,MAX(INDEX(rF1.SlabThickness,1,1),INDEX(rF1.SlabThickness,1,3)),INDEX(rF1.SlabThickness,1,1))</f>
        <v>3.22</v>
      </c>
      <c r="AH39" s="168">
        <f ca="1">rF1.PlotHeightFirstFloor+IF(rF1.CheckSlabExisting03,MAX(INDEX(rF1.SlabThickness,1,1),INDEX(rF1.SlabThickness,1,3)),INDEX(rF1.SlabThickness,1,1))</f>
        <v>3.22</v>
      </c>
      <c r="AI39" s="168">
        <f ca="1">rF1.PlotHeightFirstFloor</f>
        <v>3</v>
      </c>
      <c r="AJ39" s="169">
        <f ca="1">rF1.PlotHeightFirstFloor</f>
        <v>3</v>
      </c>
      <c r="AK39" s="118"/>
    </row>
    <row r="40" spans="5:37" ht="15.75" thickTop="1" thickBot="1" x14ac:dyDescent="0.25">
      <c r="K40" s="170" t="s">
        <v>496</v>
      </c>
      <c r="L40" s="146"/>
      <c r="M40" s="153"/>
      <c r="N40" s="154"/>
      <c r="O40" s="153"/>
      <c r="P40" s="131"/>
      <c r="Q40" s="131"/>
      <c r="S40" s="155" t="s">
        <v>472</v>
      </c>
      <c r="T40" s="158" t="str">
        <f>rP2.OutputSlab02</f>
        <v>Decke 2</v>
      </c>
      <c r="U40" s="162" t="s">
        <v>93</v>
      </c>
      <c r="V40" s="163">
        <f ca="1">rF1.DistanceTop02-rF1.WallThickness02/2</f>
        <v>-0.14750000000000002</v>
      </c>
      <c r="W40" s="163">
        <f ca="1">rF1.DistanceTop02-rF1.WallThickness02/2</f>
        <v>-0.14750000000000002</v>
      </c>
      <c r="X40" s="163">
        <f ca="1">rF1.WallThickness02/2+INDEX(rF1.SlabSpanPerpendicular,1,2)</f>
        <v>6.0324999999999998</v>
      </c>
      <c r="Y40" s="163">
        <f ca="1">rF1.WallThickness02/2+INDEX(rF1.SlabSpanPerpendicular,1,2)</f>
        <v>6.0324999999999998</v>
      </c>
      <c r="Z40" s="163">
        <f ca="1">rF1.WallThickness02/2+INDEX(rF1.SlabSpanPerpendicular,1,2)/2</f>
        <v>3.1074999999999999</v>
      </c>
      <c r="AA40" s="164">
        <f ca="1">rF1.DistanceTop02-rF1.WallThickness02/2</f>
        <v>-0.14750000000000002</v>
      </c>
      <c r="AB40" s="165"/>
      <c r="AC40" s="158" t="str">
        <f>rP2.OutputSlab02</f>
        <v>Decke 2</v>
      </c>
      <c r="AD40" s="162" t="s">
        <v>93</v>
      </c>
      <c r="AE40" s="163">
        <f>-INDEX(rF1.SlabInfluenceWidth,1,2)/2</f>
        <v>-1.35</v>
      </c>
      <c r="AF40" s="163">
        <f>INDEX(rF1.SlabInfluenceWidth,1,2)/2</f>
        <v>1.35</v>
      </c>
      <c r="AG40" s="163">
        <f>INDEX(rF1.SlabInfluenceWidth,1,2)/2</f>
        <v>1.35</v>
      </c>
      <c r="AH40" s="163">
        <f>-INDEX(rF1.SlabInfluenceWidth,1,2)/2</f>
        <v>-1.35</v>
      </c>
      <c r="AI40" s="163">
        <f>-INDEX(rF1.SlabInfluenceWidth,1,2)/2</f>
        <v>-1.35</v>
      </c>
      <c r="AJ40" s="164">
        <f>(INDEX(rF1.SlabInfluenceWidth,1,2)-(INDEX(rF1.SlabInfluenceWidth,1,2)-INDEX(rF1.WallLenght,1,2)))/4</f>
        <v>0.32500000000000001</v>
      </c>
      <c r="AK40" s="118"/>
    </row>
    <row r="41" spans="5:37" ht="15.75" thickTop="1" thickBot="1" x14ac:dyDescent="0.25">
      <c r="E41" s="179"/>
      <c r="K41" s="170" t="s">
        <v>220</v>
      </c>
      <c r="L41" s="146"/>
      <c r="M41" s="180"/>
      <c r="N41" s="181"/>
      <c r="O41" s="180"/>
      <c r="P41" s="131"/>
      <c r="Q41" s="131"/>
      <c r="S41" s="155"/>
      <c r="T41" s="166"/>
      <c r="U41" s="167" t="s">
        <v>94</v>
      </c>
      <c r="V41" s="168">
        <f ca="1">rF1.PlotHeightFirstFloor+IF(rF1.CheckSlabExisting03,MAX(INDEX(rF1.SlabThickness,1,1),INDEX(rF1.SlabThickness,1,3)),INDEX(rF1.SlabThickness,1,1))+rF1.WallHeight02+IF(rF1.CheckSlabExisting04,MIN(INDEX(rF1.SlabThickness,1,2),INDEX(rF1.SlabThickness,1,4)))</f>
        <v>6.62</v>
      </c>
      <c r="W41" s="168">
        <f ca="1">rF1.PlotHeightFirstFloor+IF(rF1.CheckSlabExisting03,MAX(INDEX(rF1.SlabThickness,1,1),INDEX(rF1.SlabThickness,1,3)),INDEX(rF1.SlabThickness,1,1))+rF1.WallHeight02+INDEX(rF1.SlabThickness,1,2)</f>
        <v>6.84</v>
      </c>
      <c r="X41" s="168">
        <f ca="1">rF1.PlotHeightFirstFloor+IF(rF1.CheckSlabExisting03,MAX(INDEX(rF1.SlabThickness,1,1),INDEX(rF1.SlabThickness,1,3)),INDEX(rF1.SlabThickness,1,1))+rF1.WallHeight02+INDEX(rF1.SlabThickness,1,2)</f>
        <v>6.84</v>
      </c>
      <c r="Y41" s="168">
        <f ca="1">rF1.PlotHeightFirstFloor+IF(rF1.CheckSlabExisting03,MAX(INDEX(rF1.SlabThickness,1,1),INDEX(rF1.SlabThickness,1,3)),INDEX(rF1.SlabThickness,1,1))+rF1.WallHeight02</f>
        <v>6.62</v>
      </c>
      <c r="Z41" s="168">
        <f ca="1">rF1.PlotHeightFirstFloor+IF(rF1.CheckSlabExisting03,MAX(INDEX(rF1.SlabThickness,1,1),INDEX(rF1.SlabThickness,1,3)),INDEX(rF1.SlabThickness,1,1))+rF1.WallHeight02</f>
        <v>6.62</v>
      </c>
      <c r="AA41" s="168">
        <f ca="1">rF1.PlotHeightFirstFloor+IF(rF1.CheckSlabExisting03,MAX(INDEX(rF1.SlabThickness,1,1),INDEX(rF1.SlabThickness,1,3)),INDEX(rF1.SlabThickness,1,1))+rF1.WallHeight02</f>
        <v>6.62</v>
      </c>
      <c r="AB41" s="165"/>
      <c r="AC41" s="166"/>
      <c r="AD41" s="167" t="s">
        <v>94</v>
      </c>
      <c r="AE41" s="168">
        <f ca="1">rF1.PlotHeightFirstFloor+IF(rF1.CheckSlabExisting03,MAX(INDEX(rF1.SlabThickness,1,1),INDEX(rF1.SlabThickness,1,3)),INDEX(rF1.SlabThickness,1,1))+rF1.WallHeight02</f>
        <v>6.62</v>
      </c>
      <c r="AF41" s="168">
        <f ca="1">rF1.PlotHeightFirstFloor+IF(rF1.CheckSlabExisting03,MAX(INDEX(rF1.SlabThickness,1,1),INDEX(rF1.SlabThickness,1,3)),INDEX(rF1.SlabThickness,1,1))+rF1.WallHeight02</f>
        <v>6.62</v>
      </c>
      <c r="AG41" s="168">
        <f ca="1">rF1.PlotHeightFirstFloor+IF(rF1.CheckSlabExisting03,MAX(INDEX(rF1.SlabThickness,1,1),INDEX(rF1.SlabThickness,1,3)),INDEX(rF1.SlabThickness,1,1))+rF1.WallHeight02+IF(rF1.CheckSlabExisting04,MAX(INDEX(rF1.SlabThickness,1,2),INDEX(rF1.SlabThickness,1,4)),INDEX(rF1.SlabThickness,1,2))</f>
        <v>6.84</v>
      </c>
      <c r="AH41" s="168">
        <f ca="1">rF1.PlotHeightFirstFloor+IF(rF1.CheckSlabExisting03,MAX(INDEX(rF1.SlabThickness,1,1),INDEX(rF1.SlabThickness,1,3)),INDEX(rF1.SlabThickness,1,1))+rF1.WallHeight02+IF(rF1.CheckSlabExisting04,MAX(INDEX(rF1.SlabThickness,1,2),INDEX(rF1.SlabThickness,1,4)),INDEX(rF1.SlabThickness,1,2))</f>
        <v>6.84</v>
      </c>
      <c r="AI41" s="168">
        <f ca="1">rF1.PlotHeightFirstFloor+IF(rF1.CheckSlabExisting03,MAX(INDEX(rF1.SlabThickness,1,1),INDEX(rF1.SlabThickness,1,3)),INDEX(rF1.SlabThickness,1,1))+rF1.WallHeight02</f>
        <v>6.62</v>
      </c>
      <c r="AJ41" s="169">
        <f ca="1">rF1.PlotHeightFirstFloor+IF(rF1.CheckSlabExisting03,MAX(INDEX(rF1.SlabThickness,1,1),INDEX(rF1.SlabThickness,1,3)),INDEX(rF1.SlabThickness,1,1))+rF1.WallHeight02</f>
        <v>6.62</v>
      </c>
      <c r="AK41" s="118"/>
    </row>
    <row r="42" spans="5:37" ht="17.25" thickTop="1" thickBot="1" x14ac:dyDescent="0.25">
      <c r="E42" s="64" t="b">
        <v>0</v>
      </c>
      <c r="K42" s="146" t="s">
        <v>221</v>
      </c>
      <c r="L42" s="146" t="s">
        <v>356</v>
      </c>
      <c r="M42" s="182" t="str">
        <f ca="1">IF(rF1.CheckWoodenSlab02,rP2.OutputEccentricityWoodenSlab,"")</f>
        <v/>
      </c>
      <c r="N42" s="84">
        <v>0</v>
      </c>
      <c r="O42" s="180"/>
      <c r="P42" s="131"/>
      <c r="Q42" s="131"/>
      <c r="S42" s="155" t="str">
        <f ca="1">IF(rF1.CheckSlabExisting03=0,"","D3")</f>
        <v/>
      </c>
      <c r="T42" s="158" t="str">
        <f ca="1">IF(rF1.CheckSlabExisting03=0,"",rP2.OutputSlab03)</f>
        <v/>
      </c>
      <c r="U42" s="162" t="s">
        <v>93</v>
      </c>
      <c r="V42" s="163">
        <f ca="1">IF(rF1.CheckSlabExisting03=0,0,rF1.DistanceBottom02-rF1.WallThickness02/2)</f>
        <v>0</v>
      </c>
      <c r="W42" s="163">
        <f ca="1">IF(rF1.CheckSlabExisting03=0,0,rF1.DistanceBottom02-rF1.WallThickness02/2)</f>
        <v>0</v>
      </c>
      <c r="X42" s="163">
        <f ca="1">IF(rF1.CheckSlabExisting03=0,0,-rF1.WallThickness02/2-INDEX(rF1.SlabSpanPerpendicular,1,3))</f>
        <v>0</v>
      </c>
      <c r="Y42" s="163">
        <f ca="1">IF(rF1.CheckSlabExisting03=0,0,-rF1.WallThickness02/2-INDEX(rF1.SlabSpanPerpendicular,1,3))</f>
        <v>0</v>
      </c>
      <c r="Z42" s="163">
        <f ca="1">IF(rF1.CheckSlabExisting03=0,0,-rF1.WallThickness02/2-INDEX(rF1.SlabSpanPerpendicular,1,3)/2)</f>
        <v>0</v>
      </c>
      <c r="AA42" s="164">
        <f ca="1">IF(rF1.CheckSlabExisting03=0,0,rF1.DistanceBottom02-rF1.WallThickness02/2)</f>
        <v>0</v>
      </c>
      <c r="AB42" s="165"/>
      <c r="AD42" s="134"/>
      <c r="AJ42" s="178"/>
      <c r="AK42" s="118"/>
    </row>
    <row r="43" spans="5:37" ht="17.25" thickTop="1" thickBot="1" x14ac:dyDescent="0.25">
      <c r="E43" s="64" t="b">
        <v>0</v>
      </c>
      <c r="K43" s="146" t="s">
        <v>222</v>
      </c>
      <c r="L43" s="146" t="s">
        <v>357</v>
      </c>
      <c r="M43" s="182" t="str">
        <f ca="1">IF(rF1.CheckWoodenSlab01,rP2.OutputEccentricityWoodenSlab,"")</f>
        <v/>
      </c>
      <c r="N43" s="84">
        <v>0</v>
      </c>
      <c r="O43" s="180"/>
      <c r="P43" s="131"/>
      <c r="Q43" s="131"/>
      <c r="S43" s="155"/>
      <c r="T43" s="166"/>
      <c r="U43" s="167" t="s">
        <v>94</v>
      </c>
      <c r="V43" s="168">
        <f ca="1">IF(rF1.CheckSlabExisting03=0,0,rF1.PlotHeightFirstFloor+MIN(INDEX(rF1.SlabThickness,1,1),INDEX(rF1.SlabThickness,1,3)))</f>
        <v>0</v>
      </c>
      <c r="W43" s="168">
        <f ca="1">IF(rF1.CheckSlabExisting03=0,0,rF1.PlotHeightFirstFloor+INDEX(rF1.SlabThickness,1,3))</f>
        <v>0</v>
      </c>
      <c r="X43" s="168">
        <f ca="1">IF(rF1.CheckSlabExisting03=0,0,rF1.PlotHeightFirstFloor+INDEX(rF1.SlabThickness,1,3))</f>
        <v>0</v>
      </c>
      <c r="Y43" s="168">
        <f ca="1">IF(rF1.CheckSlabExisting03=0,0,rF1.PlotHeightFirstFloor)</f>
        <v>0</v>
      </c>
      <c r="Z43" s="168">
        <f ca="1">IF(rF1.CheckSlabExisting03=0,0,rF1.PlotHeightFirstFloor)</f>
        <v>0</v>
      </c>
      <c r="AA43" s="169">
        <f ca="1">IF(rF1.CheckSlabExisting03=0,0,rF1.PlotHeightFirstFloor)</f>
        <v>0</v>
      </c>
      <c r="AB43" s="165"/>
      <c r="AD43" s="134"/>
      <c r="AJ43" s="178"/>
      <c r="AK43" s="118"/>
    </row>
    <row r="44" spans="5:37" ht="17.25" thickTop="1" thickBot="1" x14ac:dyDescent="0.25">
      <c r="E44" s="145">
        <f ca="1">MAX(INDEX(rF1.WallThickness,1,1)/3+0.04,0.1)</f>
        <v>0.12333333333333332</v>
      </c>
      <c r="F44" s="145">
        <f ca="1">MAX(rF1.WallThickness02/3+0.04,0.1)</f>
        <v>0.16166666666666665</v>
      </c>
      <c r="G44" s="179"/>
      <c r="H44" s="145" t="b">
        <f ca="1">IF(INDEX(rF1.SlabType,1,4)=rP1.CheckWordCantilever,TRUE,FALSE)</f>
        <v>0</v>
      </c>
      <c r="K44" s="185" t="s">
        <v>490</v>
      </c>
      <c r="L44" s="146" t="s">
        <v>358</v>
      </c>
      <c r="M44" s="83">
        <v>0.25</v>
      </c>
      <c r="N44" s="395">
        <v>0.33</v>
      </c>
      <c r="O44" s="173"/>
      <c r="P44" s="184" t="str">
        <f ca="1">IF(OR(AND(rF1.CheckSlabExisting04=1,INDEX(rF1.DistanceBottom,1,3)&lt;&gt;0),AND(rF1.CheckSlabExisting04=1,INDEX(rF1.DistanceTop,1,2)&lt;&gt;0)),IF(INDEX(rF1.SlabType,1,4)=rP1.CheckWordCantilever,rP2.OutputIsokorbSlab04,rP2.OutputContinuousSlab),IF(rF1.BearingDepthTop02&lt;rF1.MinBearingDepthTop02,IF(rF1.MinBearingDepthTop02=0.1,rP2.OutputBearingDepth02,rP2.OutputBearingDepth01&amp;" = "&amp;ROUND(rF1.MinBearingDepthTop02*1000,0)&amp;" mm!"),""))</f>
        <v/>
      </c>
      <c r="Q44" s="129"/>
      <c r="S44" s="155" t="str">
        <f ca="1">IF(rF1.CheckSlabExisting04=0,"","D4")</f>
        <v/>
      </c>
      <c r="T44" s="158" t="str">
        <f ca="1">IF(rF1.CheckSlabExisting04=0,"",rP2.OutputSlab04)</f>
        <v/>
      </c>
      <c r="U44" s="162" t="s">
        <v>93</v>
      </c>
      <c r="V44" s="163">
        <f ca="1">IF(rF1.CheckSlabExisting04=0,0,rF1.DistanceTop02-rF1.WallThickness02/2)</f>
        <v>0</v>
      </c>
      <c r="W44" s="163">
        <f ca="1">IF(rF1.CheckSlabExisting04=0,0,rF1.DistanceTop02-rF1.WallThickness02/2)</f>
        <v>0</v>
      </c>
      <c r="X44" s="163">
        <f ca="1">IF(rF1.CheckSlabExisting04=0,0,-rF1.WallThickness02/2-INDEX(rF1.SlabSpanPerpendicular,1,4))</f>
        <v>0</v>
      </c>
      <c r="Y44" s="163">
        <f ca="1">IF(rF1.CheckSlabExisting04=0,0,-rF1.WallThickness02/2-INDEX(rF1.SlabSpanPerpendicular,1,4))</f>
        <v>0</v>
      </c>
      <c r="Z44" s="163">
        <f ca="1">IF(rF1.CheckSlabExisting04=0,0,-rF1.WallThickness02/2-INDEX(rF1.SlabSpanPerpendicular,1,4)/2)</f>
        <v>0</v>
      </c>
      <c r="AA44" s="164">
        <f ca="1">IF(rF1.CheckSlabExisting04=0,0,rF1.DistanceTop02-rF1.WallThickness02/2)</f>
        <v>0</v>
      </c>
      <c r="AB44" s="165"/>
      <c r="AD44" s="134"/>
      <c r="AJ44" s="178"/>
      <c r="AK44" s="118"/>
    </row>
    <row r="45" spans="5:37" ht="17.25" thickTop="1" thickBot="1" x14ac:dyDescent="0.25">
      <c r="F45" s="145">
        <f ca="1">MAX(rF1.WallThickness02/3+0.04,0.1)</f>
        <v>0.16166666666666665</v>
      </c>
      <c r="G45" s="145">
        <f ca="1">MAX(INDEX(rF1.WallThickness,1,3)/3+0.04,0.1)</f>
        <v>0.16166666666666665</v>
      </c>
      <c r="H45" s="145" t="b">
        <f ca="1">IF(INDEX(rF1.SlabType,1,3)=rP1.CheckWordCantilever,TRUE,FALSE)</f>
        <v>0</v>
      </c>
      <c r="K45" s="187" t="s">
        <v>491</v>
      </c>
      <c r="L45" s="185" t="s">
        <v>359</v>
      </c>
      <c r="M45" s="173"/>
      <c r="N45" s="395">
        <v>0.33</v>
      </c>
      <c r="O45" s="83">
        <v>0.33</v>
      </c>
      <c r="P45" s="184" t="str">
        <f ca="1">IF(OR(AND(rF1.CheckSlabExisting03,INDEX(rF1.DistanceBottom,1,2)&lt;&gt;0),AND(rF1.CheckSlabExisting03,INDEX(rF1.DistanceTop,1,1)&lt;&gt;0)),IF(INDEX(rF1.SlabType,1,3)=rP1.CheckWordCantilever,rP2.OutputIsokorbSlab03,rP2.OutputContinuousSlab),IF(rF1.BearingDepthBottom02&lt;rF1.MinBearingDepthBottom02,IF(rF1.MinBearingDepthBottom02=0.1,rP2.OutputBearingDepth02,rP2.OutputBearingDepth01&amp;" = "&amp;ROUND(rF1.MinBearingDepthBottom02*1000,0)&amp;" mm!"),""))</f>
        <v/>
      </c>
      <c r="Q45" s="153"/>
      <c r="S45" s="155"/>
      <c r="T45" s="166"/>
      <c r="U45" s="167" t="s">
        <v>94</v>
      </c>
      <c r="V45" s="168">
        <f ca="1">IF(rF1.CheckSlabExisting04=0,0,rF1.PlotHeightFirstFloor+IF(rF1.CheckSlabExisting03,MAX(INDEX(rF1.SlabThickness,1,1),INDEX(rF1.SlabThickness,1,3)),INDEX(rF1.SlabThickness,1,1))+rF1.WallHeight02+MIN(INDEX(rF1.SlabThickness,1,2),INDEX(rF1.SlabThickness,1,4)))</f>
        <v>0</v>
      </c>
      <c r="W45" s="168">
        <f ca="1">IF(rF1.CheckSlabExisting04=0,0,rF1.PlotHeightFirstFloor+IF(rF1.CheckSlabExisting03,MAX(INDEX(rF1.SlabThickness,1,1),INDEX(rF1.SlabThickness,1,3)),INDEX(rF1.SlabThickness,1,1))+rF1.WallHeight02+INDEX(rF1.SlabThickness,1,4))</f>
        <v>0</v>
      </c>
      <c r="X45" s="168">
        <f ca="1">IF(rF1.CheckSlabExisting04=0,0,rF1.PlotHeightFirstFloor+IF(rF1.CheckSlabExisting03,MAX(INDEX(rF1.SlabThickness,1,1),INDEX(rF1.SlabThickness,1,3)),INDEX(rF1.SlabThickness,1,1))+rF1.WallHeight02+INDEX(rF1.SlabThickness,1,4))</f>
        <v>0</v>
      </c>
      <c r="Y45" s="168">
        <f ca="1">IF(rF1.CheckSlabExisting04=0,0,rF1.PlotHeightFirstFloor+IF(rF1.CheckSlabExisting03,MAX(INDEX(rF1.SlabThickness,1,1),INDEX(rF1.SlabThickness,1,3)),INDEX(rF1.SlabThickness,1,1))+rF1.WallHeight02)</f>
        <v>0</v>
      </c>
      <c r="Z45" s="168">
        <f ca="1">IF(rF1.CheckSlabExisting04=0,0,rF1.PlotHeightFirstFloor+IF(rF1.CheckSlabExisting03,MAX(INDEX(rF1.SlabThickness,1,1),INDEX(rF1.SlabThickness,1,3)),INDEX(rF1.SlabThickness,1,1))+rF1.WallHeight02)</f>
        <v>0</v>
      </c>
      <c r="AA45" s="168">
        <f ca="1">IF(rF1.CheckSlabExisting04=0,0,rF1.PlotHeightFirstFloor+IF(rF1.CheckSlabExisting03,MAX(INDEX(rF1.SlabThickness,1,1),INDEX(rF1.SlabThickness,1,3)),INDEX(rF1.SlabThickness,1,1))+rF1.WallHeight02)</f>
        <v>0</v>
      </c>
      <c r="AB45" s="165"/>
      <c r="AD45" s="134"/>
      <c r="AJ45" s="178"/>
      <c r="AK45" s="118"/>
    </row>
    <row r="46" spans="5:37" ht="17.25" thickTop="1" thickBot="1" x14ac:dyDescent="0.25">
      <c r="E46" s="145">
        <f ca="1">INDEX(rF1.WallThickness,1,1)</f>
        <v>0.25</v>
      </c>
      <c r="F46" s="145">
        <f ca="1">rF1.WallThickness02</f>
        <v>0.36499999999999999</v>
      </c>
      <c r="K46" s="146" t="s">
        <v>559</v>
      </c>
      <c r="L46" s="146" t="s">
        <v>562</v>
      </c>
      <c r="M46" s="399">
        <f ca="1">rF1.BearingDepthTop01/rF1.WallThickness</f>
        <v>1</v>
      </c>
      <c r="N46" s="390">
        <f ca="1">rF1.BearingDepthTop02/rF1.WallThickness02</f>
        <v>0.90410958904109595</v>
      </c>
      <c r="O46" s="173"/>
      <c r="P46" s="184"/>
      <c r="Q46" s="131"/>
      <c r="S46" s="155"/>
      <c r="T46" s="158" t="s">
        <v>119</v>
      </c>
      <c r="U46" s="162" t="s">
        <v>93</v>
      </c>
      <c r="V46" s="163">
        <f ca="1">MAX(MAX(rF1.PlotPoints01,ABS(MIN(rF1.PlotPoints01))))*rF1.PlotOutlineFactor01</f>
        <v>11.264000000000001</v>
      </c>
      <c r="W46" s="186">
        <f ca="1">-MAX(MAX(rF1.PlotPoints01,ABS(MIN(rF1.PlotPoints01))))*rF1.PlotOutlineFactor01</f>
        <v>-11.264000000000001</v>
      </c>
      <c r="AA46" s="178"/>
      <c r="AB46" s="155"/>
      <c r="AC46" s="158" t="s">
        <v>119</v>
      </c>
      <c r="AD46" s="162" t="s">
        <v>93</v>
      </c>
      <c r="AE46" s="163">
        <f ca="1">MAX(MAX(rF1.PlotPoints01,ABS(MIN(rF1.PlotPoints01))))*rF1.PlotOutlineFactor01</f>
        <v>11.264000000000001</v>
      </c>
      <c r="AF46" s="186">
        <f ca="1">-MAX(MAX(rF1.PlotPoints01,ABS(MIN(rF1.PlotPoints01))))*rF1.PlotOutlineFactor01</f>
        <v>-11.264000000000001</v>
      </c>
      <c r="AJ46" s="178"/>
      <c r="AK46" s="118"/>
    </row>
    <row r="47" spans="5:37" ht="17.25" thickTop="1" thickBot="1" x14ac:dyDescent="0.25">
      <c r="F47" s="145">
        <f ca="1">rF1.WallThickness02</f>
        <v>0.36499999999999999</v>
      </c>
      <c r="G47" s="145">
        <f ca="1">INDEX(rF1.WallThickness,1,3)</f>
        <v>0.36499999999999999</v>
      </c>
      <c r="K47" s="185" t="s">
        <v>560</v>
      </c>
      <c r="L47" s="185" t="s">
        <v>561</v>
      </c>
      <c r="M47" s="173"/>
      <c r="N47" s="391">
        <f ca="1">rF1.BearingDepthBottom02/rF1.WallThickness02</f>
        <v>0.90410958904109595</v>
      </c>
      <c r="O47" s="399">
        <f ca="1">rF1.BearingDepthBottom03/rF1.WallThickness</f>
        <v>0.90410958904109595</v>
      </c>
      <c r="P47" s="410"/>
      <c r="Q47" s="129"/>
      <c r="S47" s="188" t="s">
        <v>123</v>
      </c>
      <c r="T47" s="189">
        <v>1.1000000000000001</v>
      </c>
      <c r="U47" s="167" t="s">
        <v>94</v>
      </c>
      <c r="V47" s="168">
        <f ca="1">MAX(MAX(rF1.PlotPoints01,ABS(MIN(rF1.PlotPoints01))))*rF1.PlotOutlineFactor01</f>
        <v>11.264000000000001</v>
      </c>
      <c r="W47" s="190">
        <f ca="1">MAX(MAX(rF1.PlotPoints01,ABS(MIN(rF1.PlotPoints01))))*rF1.PlotOutlineFactor01</f>
        <v>11.264000000000001</v>
      </c>
      <c r="AA47" s="178"/>
      <c r="AB47" s="188" t="s">
        <v>123</v>
      </c>
      <c r="AC47" s="191">
        <f>rF1.PlotOutlineFactor01</f>
        <v>1.1000000000000001</v>
      </c>
      <c r="AD47" s="167" t="s">
        <v>94</v>
      </c>
      <c r="AE47" s="168">
        <f ca="1">MAX(MAX(rF1.PlotPoints01,ABS(MIN(rF1.PlotPoints01))))*rF1.PlotOutlineFactor01</f>
        <v>11.264000000000001</v>
      </c>
      <c r="AF47" s="190">
        <f ca="1">MAX(MAX(rF1.PlotPoints01,ABS(MIN(rF1.PlotPoints01))))*rF1.PlotOutlineFactor01</f>
        <v>11.264000000000001</v>
      </c>
      <c r="AJ47" s="178"/>
      <c r="AK47" s="118"/>
    </row>
    <row r="48" spans="5:37" ht="15" thickTop="1" x14ac:dyDescent="0.2">
      <c r="K48" s="142" t="s">
        <v>225</v>
      </c>
      <c r="L48" s="142"/>
      <c r="M48" s="143" t="s">
        <v>255</v>
      </c>
      <c r="N48" s="143" t="s">
        <v>256</v>
      </c>
      <c r="O48" s="143" t="s">
        <v>257</v>
      </c>
      <c r="P48" s="143" t="s">
        <v>258</v>
      </c>
      <c r="Q48" s="192"/>
      <c r="S48" s="193"/>
      <c r="AA48" s="178"/>
      <c r="AB48" s="165"/>
      <c r="AJ48" s="178"/>
      <c r="AK48" s="118"/>
    </row>
    <row r="49" spans="5:40" ht="15" thickBot="1" x14ac:dyDescent="0.25">
      <c r="E49" s="194">
        <f ca="1">IF(OR(OFFSET(rL1.Slab01Head,rF1.SlabTypeSelection01,0,1,1)=rP1.CheckwordBaseplate,AND(rF1.CheckWoodenSlab01=0,OFFSET(rL1.Slab03Head,rF1.SlabTypeSelection03,0,1,1)=rP1.CheckwordBaseplate)),1,0)</f>
        <v>0</v>
      </c>
      <c r="G49" s="194">
        <f ca="1">IF(OFFSET(rF1.Slab03List,MIN(rF1.SlabTypeSelection03-1,COUNTA(rF1.Slab03List)-1),0,1,1)=rP1.CheckwordNotExisting,0,1)</f>
        <v>0</v>
      </c>
      <c r="H49" s="194">
        <f ca="1">IF(OFFSET(rF1.Slab04List,MIN(rF1.SlabTypeSelection04-1,COUNTA(rF1.Slab04List)-1),0,1,1)=rP1.CheckwordNotExisting,0,1)</f>
        <v>0</v>
      </c>
      <c r="K49" s="146" t="s">
        <v>226</v>
      </c>
      <c r="L49" s="146"/>
      <c r="M49" s="195"/>
      <c r="N49" s="196"/>
      <c r="O49" s="196"/>
      <c r="P49" s="197"/>
      <c r="Q49" s="131"/>
      <c r="S49" s="193"/>
      <c r="T49" s="158" t="s">
        <v>178</v>
      </c>
      <c r="U49" s="186"/>
      <c r="V49" s="163"/>
      <c r="W49" s="163"/>
      <c r="X49" s="163"/>
      <c r="Y49" s="198"/>
      <c r="Z49" s="163"/>
      <c r="AA49" s="164"/>
      <c r="AB49" s="165"/>
      <c r="AJ49" s="178"/>
      <c r="AK49" s="118"/>
    </row>
    <row r="50" spans="5:40" ht="15.75" thickTop="1" thickBot="1" x14ac:dyDescent="0.25">
      <c r="E50" s="145">
        <f ca="1">IF(OFFSET(rL1.Slab01Head,rF1.SlabTypeSelection01,0,1,1)=rP1.CheckwordWoodenSlab,1,0)</f>
        <v>0</v>
      </c>
      <c r="F50" s="145">
        <f ca="1">IF(OFFSET(rL1.Slab02Head,rF1.SlabTypeSelection02,0,1,1)=rP1.CheckwordWoodenSlab,1,0)</f>
        <v>0</v>
      </c>
      <c r="G50" s="145">
        <f ca="1">IF(AND(OFFSET(rL1.Slab01Head,rF1.SlabTypeSelection01,0,1,1)=rP1.CheckwordWoodenSlab,rF1.CheckSlabExisting03),1,0)</f>
        <v>0</v>
      </c>
      <c r="H50" s="145">
        <f ca="1">IF(AND(OFFSET(rL1.Slab02Head,rF1.SlabTypeSelection02,0,1,1)=rP1.CheckwordWoodenSlab,rF1.CheckSlabExisting04),1,0)</f>
        <v>0</v>
      </c>
      <c r="K50" s="170" t="s">
        <v>219</v>
      </c>
      <c r="L50" s="146"/>
      <c r="M50" s="199"/>
      <c r="N50" s="200"/>
      <c r="O50" s="200"/>
      <c r="P50" s="201"/>
      <c r="Q50" s="131"/>
      <c r="S50" s="202" t="s">
        <v>123</v>
      </c>
      <c r="T50" s="203">
        <v>0.05</v>
      </c>
      <c r="U50" s="204"/>
      <c r="V50" s="134">
        <v>0</v>
      </c>
      <c r="W50" s="134">
        <v>1</v>
      </c>
      <c r="X50" s="134" t="s">
        <v>179</v>
      </c>
      <c r="Y50" s="166" t="s">
        <v>1</v>
      </c>
      <c r="Z50" s="205" t="s">
        <v>10</v>
      </c>
      <c r="AA50" s="206" t="s">
        <v>9</v>
      </c>
      <c r="AB50" s="165"/>
      <c r="AD50" s="207" t="s">
        <v>195</v>
      </c>
      <c r="AE50" s="158">
        <v>0</v>
      </c>
      <c r="AF50" s="162">
        <v>1</v>
      </c>
      <c r="AJ50" s="178"/>
      <c r="AK50" s="118"/>
      <c r="AM50" s="118"/>
      <c r="AN50" s="118"/>
    </row>
    <row r="51" spans="5:40" ht="17.25" thickTop="1" thickBot="1" x14ac:dyDescent="0.25">
      <c r="K51" s="146" t="s">
        <v>227</v>
      </c>
      <c r="L51" s="146" t="s">
        <v>3</v>
      </c>
      <c r="M51" s="85">
        <v>5.85</v>
      </c>
      <c r="N51" s="86">
        <v>5.85</v>
      </c>
      <c r="O51" s="86">
        <v>5</v>
      </c>
      <c r="P51" s="87">
        <v>2.5</v>
      </c>
      <c r="Q51" s="131"/>
      <c r="S51" s="155"/>
      <c r="T51" s="158" t="str">
        <f>rP2.OutputSlab01</f>
        <v>Decke 1</v>
      </c>
      <c r="U51" s="162" t="s">
        <v>93</v>
      </c>
      <c r="V51" s="163">
        <f>INDEX(rF1.PositioningLineLoad,1,1)</f>
        <v>0</v>
      </c>
      <c r="W51" s="163">
        <f>INDEX(rF1.PositioningLineLoad,1,1)</f>
        <v>0</v>
      </c>
      <c r="X51" s="208" t="str">
        <f ca="1">IF(OR(rF1.CheckWoodenSlab01,rF1.CheckBendingMomentSlabBottom,INDEX(rF1.DesignTotalLineLoad,1,1)=0,INDEX(rF1.PositioningLineLoad,1,1)=0),"",INDEX(rF1.DesignTotalLineLoad,1,1))</f>
        <v/>
      </c>
      <c r="Y51" s="209" t="s">
        <v>93</v>
      </c>
      <c r="Z51" s="118">
        <f ca="1">rF1.WallThickness02/2+INDEX(rF1.SlabSpanPerpendicular,1,1)</f>
        <v>6.0324999999999998</v>
      </c>
      <c r="AA51" s="178">
        <f ca="1">rF1.WallThickness02/2+INDEX(rF1.SlabSpanPerpendicular,1,1)</f>
        <v>6.0324999999999998</v>
      </c>
      <c r="AB51" s="165"/>
      <c r="AD51" s="210" t="s">
        <v>93</v>
      </c>
      <c r="AE51" s="163">
        <f ca="1">IF(rF1.FixedVergesNumber=0,0,INDEX(rF1.WallLenght,1,2)/2)</f>
        <v>0</v>
      </c>
      <c r="AF51" s="186">
        <f ca="1">IF(rF1.FixedVergesNumber=0,0,INDEX(rF1.WallLenght,1,2)/2)</f>
        <v>0</v>
      </c>
      <c r="AJ51" s="178"/>
      <c r="AK51" s="118"/>
    </row>
    <row r="52" spans="5:40" ht="17.25" thickTop="1" thickBot="1" x14ac:dyDescent="0.25">
      <c r="K52" s="146" t="s">
        <v>228</v>
      </c>
      <c r="L52" s="146" t="s">
        <v>4</v>
      </c>
      <c r="M52" s="85">
        <v>5.4</v>
      </c>
      <c r="N52" s="86">
        <v>5.4</v>
      </c>
      <c r="O52" s="86">
        <v>10</v>
      </c>
      <c r="P52" s="87">
        <v>10</v>
      </c>
      <c r="Q52" s="131"/>
      <c r="S52" s="155"/>
      <c r="T52" s="166"/>
      <c r="U52" s="167" t="s">
        <v>94</v>
      </c>
      <c r="V52" s="168">
        <f ca="1">IF(OR(rF1.CheckWoodenSlab01,rF1.CheckBendingMomentSlabBottom,INDEX(rF1.DesignTotalLineLoad,1,1)=0,INDEX(rF1.PositioningLineLoad,1,1)=0),-5,rF1.PlotHeightFirstFloor+INDEX(rF1.SlabThickness,1,1)+INDEX(rF1.DesignTotalLineLoad,1,1)*rF1.PlotFactorLineLoad)</f>
        <v>-5</v>
      </c>
      <c r="W52" s="168">
        <f ca="1">IF(OR(rF1.CheckWoodenSlab01,rF1.CheckBendingMomentSlabBottom,INDEX(rF1.DesignTotalLineLoad,1,1)=0,INDEX(rF1.PositioningLineLoad,1,1)=0),-5,rF1.PlotHeightFirstFloor+INDEX(rF1.SlabThickness,1,1))</f>
        <v>-5</v>
      </c>
      <c r="X52" s="190"/>
      <c r="Y52" s="209" t="s">
        <v>94</v>
      </c>
      <c r="Z52" s="118">
        <f ca="1">IF(AND(rF1.CheckBasePlate=0,INDEX(rF1.SlabBearingType,1,1)=rP1.CheckwordFixed),rF1.PlotHeightFirstFloor,-5)</f>
        <v>3</v>
      </c>
      <c r="AA52" s="178">
        <f ca="1">IF(AND(rF1.CheckBasePlate=0,OR(INDEX(rF1.SlabBearingType,1,1)=rP1.CheckwordHinged,rF1.CheckWoodenSlab01=1)),rF1.PlotHeightFirstFloor,-5)</f>
        <v>-5</v>
      </c>
      <c r="AB52" s="165"/>
      <c r="AD52" s="211" t="s">
        <v>94</v>
      </c>
      <c r="AE52" s="168">
        <f ca="1">IF(rF1.FixedVergesNumber=0,0,rF1.PlotHeightFirstFloor+IF(rF1.CheckSlabExisting03,MAX(INDEX(rF1.SlabThickness,1,1),INDEX(rF1.SlabThickness,1,3)),INDEX(rF1.SlabThickness,1,1)))</f>
        <v>0</v>
      </c>
      <c r="AF52" s="190">
        <f ca="1">IF(rF1.FixedVergesNumber=0,0,rF1.PlotHeightFirstFloor+IF(rF1.CheckSlabExisting03,MAX(INDEX(rF1.SlabThickness,1,1),INDEX(rF1.SlabThickness,1,3)),INDEX(rF1.SlabThickness,1,1))+rF1.WallHeight02)</f>
        <v>0</v>
      </c>
      <c r="AJ52" s="178"/>
      <c r="AK52" s="118"/>
    </row>
    <row r="53" spans="5:40" ht="15.75" thickTop="1" thickBot="1" x14ac:dyDescent="0.25">
      <c r="E53" s="212">
        <f ca="1">MAX(INDEX(rF1.WallLenght,1,2),IF(AND(rF1.CheckBasePlate=0,rF1.CheckFoundation=0),INDEX(rF1.WallLenght,1,1),0))</f>
        <v>5.4</v>
      </c>
      <c r="F53" s="212">
        <f>MAX(INDEX(rF1.WallLenght,1,2),IF(rF1.CheckWallNotExisting=0,INDEX(rF1.WallLenght,1,3),0))</f>
        <v>1.3</v>
      </c>
      <c r="K53" s="146" t="s">
        <v>229</v>
      </c>
      <c r="L53" s="146" t="s">
        <v>136</v>
      </c>
      <c r="M53" s="85">
        <v>5.4</v>
      </c>
      <c r="N53" s="86">
        <v>2.7</v>
      </c>
      <c r="O53" s="213">
        <f>INDEX(rF1.SlabInfluenceWidth,1,1)</f>
        <v>5.4</v>
      </c>
      <c r="P53" s="214">
        <f>INDEX(rF1.SlabInfluenceWidth,1,2)</f>
        <v>2.7</v>
      </c>
      <c r="Q53" s="131"/>
      <c r="S53" s="155"/>
      <c r="T53" s="158" t="str">
        <f>rP2.OutputSlab02</f>
        <v>Decke 2</v>
      </c>
      <c r="U53" s="162" t="s">
        <v>93</v>
      </c>
      <c r="V53" s="163">
        <f>INDEX(rF1.PositioningLineLoad,1,2)</f>
        <v>0</v>
      </c>
      <c r="W53" s="163">
        <f>INDEX(rF1.PositioningLineLoad,1,2)</f>
        <v>0</v>
      </c>
      <c r="X53" s="215" t="str">
        <f ca="1">IF(OR(rF1.CheckWoodenSlab02,rF1.CheckBendingMomentSlabTop,INDEX(rF1.DesignTotalLineLoad,1,2)=0,INDEX(rF1.PositioningLineLoad,1,2)=0),"",INDEX(rF1.DesignTotalLineLoad,1,2))</f>
        <v/>
      </c>
      <c r="Y53" s="198" t="s">
        <v>93</v>
      </c>
      <c r="Z53" s="163">
        <f ca="1">rF1.WallThickness02/2+INDEX(rF1.SlabSpanPerpendicular,1,2)</f>
        <v>6.0324999999999998</v>
      </c>
      <c r="AA53" s="164">
        <f ca="1">rF1.WallThickness02/2+INDEX(rF1.SlabSpanPerpendicular,1,2)</f>
        <v>6.0324999999999998</v>
      </c>
      <c r="AB53" s="155"/>
      <c r="AC53" s="117"/>
      <c r="AD53" s="210" t="s">
        <v>93</v>
      </c>
      <c r="AE53" s="163">
        <f ca="1">IF(OR(rF1.FixedVergesNumber=0,rF1.FixedVergesNumber=1),0,-INDEX(rF1.WallLenght,1,2)/2)</f>
        <v>0</v>
      </c>
      <c r="AF53" s="186">
        <f ca="1">IF(OR(rF1.FixedVergesNumber=0,rF1.FixedVergesNumber=1),0,-INDEX(rF1.WallLenght,1,2)/2)</f>
        <v>0</v>
      </c>
      <c r="AJ53" s="178"/>
      <c r="AK53" s="118"/>
    </row>
    <row r="54" spans="5:40" ht="17.25" thickTop="1" thickBot="1" x14ac:dyDescent="0.25">
      <c r="K54" s="146" t="s">
        <v>230</v>
      </c>
      <c r="L54" s="146" t="s">
        <v>5</v>
      </c>
      <c r="M54" s="85">
        <v>0.22</v>
      </c>
      <c r="N54" s="86">
        <v>0.22</v>
      </c>
      <c r="O54" s="86">
        <v>0.25</v>
      </c>
      <c r="P54" s="87">
        <v>0.25</v>
      </c>
      <c r="Q54" s="131"/>
      <c r="S54" s="155"/>
      <c r="T54" s="166"/>
      <c r="U54" s="167" t="s">
        <v>94</v>
      </c>
      <c r="V54" s="168">
        <f ca="1">IF(OR(rF1.CheckWoodenSlab02,rF1.CheckBendingMomentSlabTop,INDEX(rF1.DesignTotalLineLoad,1,2)=0,INDEX(rF1.PositioningLineLoad,1,2)=0),-5,rF1.PlotHeightFirstFloor+IF(rF1.CheckSlabExisting03,MAX(INDEX(rF1.SlabThickness,1,1),INDEX(rF1.SlabThickness,1,3)),INDEX(rF1.SlabThickness,1,1))+rF1.WallHeight02+INDEX(rF1.SlabThickness,1,2)+INDEX(rF1.DesignTotalLineLoad,1,2)*rF1.PlotFactorLineLoad)</f>
        <v>-5</v>
      </c>
      <c r="W54" s="168">
        <f ca="1">IF(OR(rF1.CheckWoodenSlab02,rF1.CheckBendingMomentSlabTop,INDEX(rF1.DesignTotalLineLoad,1,2)=0,INDEX(rF1.PositioningLineLoad,1,2)=0),-5,rF1.PlotHeightFirstFloor+IF(rF1.CheckSlabExisting03,MAX(INDEX(rF1.SlabThickness,1,1),INDEX(rF1.SlabThickness,1,3)),INDEX(rF1.SlabThickness,1,1))+rF1.WallHeight02+INDEX(rF1.SlabThickness,1,2))</f>
        <v>-5</v>
      </c>
      <c r="X54" s="168"/>
      <c r="Y54" s="191" t="s">
        <v>94</v>
      </c>
      <c r="Z54" s="168">
        <f ca="1">IF(INDEX(rF1.SlabBearingType,1,2)=rP1.CheckwordFixed,rF1.PlotHeightFirstFloor+IF(rF1.CheckSlabExisting03,MAX(INDEX(rF1.SlabThickness,1,1),INDEX(rF1.SlabThickness,1,3)),INDEX(rF1.SlabThickness,1,1))+rF1.WallHeight02,-5)</f>
        <v>6.62</v>
      </c>
      <c r="AA54" s="169">
        <f ca="1">IF(OR(INDEX(rF1.SlabBearingType,1,2)=rP1.CheckwordHinged,rF1.CheckWoodenSlab02=1),rF1.PlotHeightFirstFloor+IF(rF1.CheckSlabExisting03,MAX(INDEX(rF1.SlabThickness,1,1),INDEX(rF1.SlabThickness,1,3)),INDEX(rF1.SlabThickness,1,1))+rF1.WallHeight02,-5)</f>
        <v>-5</v>
      </c>
      <c r="AB54" s="165"/>
      <c r="AD54" s="211" t="s">
        <v>94</v>
      </c>
      <c r="AE54" s="168">
        <f ca="1">IF(OR(rF1.FixedVergesNumber=0,rF1.FixedVergesNumber=1),0,rF1.PlotHeightFirstFloor+IF(rF1.CheckSlabExisting03,MAX(INDEX(rF1.SlabThickness,1,1),INDEX(rF1.SlabThickness,1,3)),INDEX(rF1.SlabThickness,1,1)))</f>
        <v>0</v>
      </c>
      <c r="AF54" s="190">
        <f ca="1">IF(OR(rF1.FixedVergesNumber=0,rF1.FixedVergesNumber=1),0,rF1.PlotHeightFirstFloor+IF(rF1.CheckSlabExisting03,MAX(INDEX(rF1.SlabThickness,1,1),INDEX(rF1.SlabThickness,1,3)),INDEX(rF1.SlabThickness,1,1))+rF1.WallHeight02)</f>
        <v>0</v>
      </c>
      <c r="AJ54" s="178"/>
      <c r="AK54" s="118"/>
    </row>
    <row r="55" spans="5:40" ht="15.75" thickTop="1" thickBot="1" x14ac:dyDescent="0.25">
      <c r="K55" s="185" t="s">
        <v>231</v>
      </c>
      <c r="L55" s="185"/>
      <c r="M55" s="199"/>
      <c r="N55" s="200"/>
      <c r="O55" s="200"/>
      <c r="P55" s="201"/>
      <c r="Q55" s="129"/>
      <c r="S55" s="155"/>
      <c r="T55" s="158" t="str">
        <f ca="1">IF(rF1.CheckSlabExisting03=0,"",rP2.OutputSlab03)</f>
        <v/>
      </c>
      <c r="U55" s="162" t="s">
        <v>93</v>
      </c>
      <c r="V55" s="163">
        <f>-INDEX(rF1.PositioningLineLoad,1,3)</f>
        <v>0</v>
      </c>
      <c r="W55" s="163">
        <f>-INDEX(rF1.PositioningLineLoad,1,3)</f>
        <v>0</v>
      </c>
      <c r="X55" s="208" t="str">
        <f ca="1">IF(OR(rF1.CheckWoodenSlab03,rF1.CheckBendingMomentSlabBottom,rF1.CheckSlabExisting03=0,INDEX(rF1.DesignTotalLineLoad,1,3)=0,INDEX(rF1.PositioningLineLoad,1,3)=0),"",INDEX(rF1.DesignTotalLineLoad,1,3))</f>
        <v/>
      </c>
      <c r="Y55" s="209" t="s">
        <v>93</v>
      </c>
      <c r="Z55" s="118">
        <f ca="1">IF(rF1.CheckSlabExisting03=0,0,-rF1.WallThickness02/2-INDEX(rF1.SlabSpanPerpendicular,1,3))</f>
        <v>0</v>
      </c>
      <c r="AA55" s="178">
        <f ca="1">IF(rF1.CheckSlabExisting03=0,0,-rF1.WallThickness02/2-INDEX(rF1.SlabSpanPerpendicular,1,3))</f>
        <v>0</v>
      </c>
      <c r="AB55" s="165"/>
      <c r="AJ55" s="178"/>
      <c r="AK55" s="118"/>
    </row>
    <row r="56" spans="5:40" ht="15" thickTop="1" x14ac:dyDescent="0.2">
      <c r="K56" s="216" t="s">
        <v>569</v>
      </c>
      <c r="L56" s="216"/>
      <c r="M56" s="216"/>
      <c r="N56" s="216"/>
      <c r="O56" s="216"/>
      <c r="P56" s="216"/>
      <c r="Q56" s="217"/>
      <c r="S56" s="155"/>
      <c r="T56" s="166"/>
      <c r="U56" s="167" t="s">
        <v>94</v>
      </c>
      <c r="V56" s="168">
        <f ca="1">IF(OR(rF1.CheckWoodenSlab03,rF1.CheckBendingMomentSlabBottom,rF1.CheckSlabExisting03=0,INDEX(rF1.DesignTotalLineLoad,1,3)=0,INDEX(rF1.PositioningLineLoad,1,3)=0),-5,rF1.PlotHeightFirstFloor+INDEX(rF1.SlabThickness,1,3)+INDEX(rF1.DesignTotalLineLoad,1,3)*rF1.PlotFactorLineLoad)</f>
        <v>-5</v>
      </c>
      <c r="W56" s="168">
        <f ca="1">IF(OR(rF1.CheckWoodenSlab03,rF1.CheckBendingMomentSlabBottom,rF1.CheckSlabExisting03=0,INDEX(rF1.DesignTotalLineLoad,1,3)=0,INDEX(rF1.PositioningLineLoad,1,3)=0),-5,rF1.PlotHeightFirstFloor+INDEX(rF1.SlabThickness,1,3))</f>
        <v>-5</v>
      </c>
      <c r="X56" s="190"/>
      <c r="Y56" s="191" t="s">
        <v>94</v>
      </c>
      <c r="Z56" s="168">
        <f ca="1">IF(AND(rF1.CheckBasePlate=0,rF1.CheckSlabExisting03,INDEX(rF1.SlabBearingType,1,3)=rP1.CheckwordFixed),rF1.PlotHeightFirstFloor,-5)</f>
        <v>-5</v>
      </c>
      <c r="AA56" s="169">
        <f ca="1">IF(AND(rF1.CheckBasePlate=0,rF1.CheckSlabExisting03,OR(INDEX(rF1.SlabBearingType,1,3)=rP1.CheckwordHinged,rF1.CheckWoodenSlab03=1)),rF1.PlotHeightFirstFloor,-5)</f>
        <v>-5</v>
      </c>
      <c r="AB56" s="165"/>
      <c r="AJ56" s="178"/>
      <c r="AK56" s="118"/>
    </row>
    <row r="57" spans="5:40" x14ac:dyDescent="0.2">
      <c r="K57" s="142" t="s">
        <v>232</v>
      </c>
      <c r="L57" s="142"/>
      <c r="M57" s="143" t="s">
        <v>255</v>
      </c>
      <c r="N57" s="143" t="s">
        <v>256</v>
      </c>
      <c r="O57" s="143" t="s">
        <v>257</v>
      </c>
      <c r="P57" s="143" t="s">
        <v>258</v>
      </c>
      <c r="Q57" s="192"/>
      <c r="S57" s="155"/>
      <c r="T57" s="158" t="str">
        <f ca="1">IF(rF1.CheckSlabExisting04=0,"",rP2.OutputSlab04)</f>
        <v/>
      </c>
      <c r="U57" s="162" t="s">
        <v>93</v>
      </c>
      <c r="V57" s="163">
        <f>-INDEX(rF1.PositioningLineLoad,1,4)</f>
        <v>0</v>
      </c>
      <c r="W57" s="163">
        <f>-INDEX(rF1.PositioningLineLoad,1,4)</f>
        <v>0</v>
      </c>
      <c r="X57" s="208" t="str">
        <f ca="1">IF(OR(rF1.CheckWoodenSlab04,rF1.CheckBendingMomentSlabTop,rF1.CheckSlabExisting04=0,INDEX(rF1.DesignTotalLineLoad,1,4)=0,INDEX(rF1.PositioningLineLoad,1,4)=0),"",INDEX(rF1.DesignTotalLineLoad,1,4))</f>
        <v/>
      </c>
      <c r="Y57" s="198" t="s">
        <v>93</v>
      </c>
      <c r="Z57" s="163">
        <f ca="1">IF(rF1.CheckSlabExisting04=0,0,-rF1.WallThickness02/2-INDEX(rF1.SlabSpanPerpendicular,1,4))</f>
        <v>0</v>
      </c>
      <c r="AA57" s="164">
        <f ca="1">IF(rF1.CheckSlabExisting04=0,0,-rF1.WallThickness02/2-INDEX(rF1.SlabSpanPerpendicular,1,4))</f>
        <v>0</v>
      </c>
      <c r="AB57" s="165"/>
      <c r="AJ57" s="178"/>
      <c r="AK57" s="118"/>
    </row>
    <row r="58" spans="5:40" ht="16.5" thickBot="1" x14ac:dyDescent="0.25">
      <c r="K58" s="218" t="s">
        <v>233</v>
      </c>
      <c r="L58" s="146" t="s">
        <v>6</v>
      </c>
      <c r="M58" s="373">
        <v>10</v>
      </c>
      <c r="N58" s="374">
        <v>10</v>
      </c>
      <c r="O58" s="374">
        <v>8</v>
      </c>
      <c r="P58" s="375">
        <v>5</v>
      </c>
      <c r="Q58" s="131"/>
      <c r="S58" s="219"/>
      <c r="T58" s="220"/>
      <c r="U58" s="221" t="s">
        <v>94</v>
      </c>
      <c r="V58" s="222">
        <f ca="1">IF(OR(rF1.CheckWoodenSlab04,rF1.CheckBendingMomentSlabTop,rF1.CheckSlabExisting04=0,INDEX(rF1.DesignTotalLineLoad,1,4)=0,INDEX(rF1.PositioningLineLoad,1,4)=0),-5,rF1.PlotHeightFirstFloor+IF(rF1.CheckSlabExisting03,MAX(INDEX(rF1.SlabThickness,1,1),INDEX(rF1.SlabThickness,1,3)),INDEX(rF1.SlabThickness,1,1))+rF1.WallHeight02+INDEX(rF1.SlabThickness,1,4)+INDEX(rF1.DesignTotalLineLoad,1,4)*rF1.PlotFactorLineLoad)</f>
        <v>-5</v>
      </c>
      <c r="W58" s="222">
        <f ca="1">IF(OR(rF1.CheckWoodenSlab04,rF1.CheckBendingMomentSlabTop,rF1.CheckSlabExisting04=0,INDEX(rF1.DesignTotalLineLoad,1,4)=0,INDEX(rF1.PositioningLineLoad,1,4)=0),-5,rF1.PlotHeightFirstFloor+IF(rF1.CheckSlabExisting03,MAX(INDEX(rF1.SlabThickness,1,1),INDEX(rF1.SlabThickness,1,3)),INDEX(rF1.SlabThickness,1,1))+rF1.WallHeight02+INDEX(rF1.SlabThickness,1,4))</f>
        <v>-5</v>
      </c>
      <c r="X58" s="223"/>
      <c r="Y58" s="224" t="s">
        <v>94</v>
      </c>
      <c r="Z58" s="222">
        <f ca="1">IF(AND(rF1.CheckSlabExisting04,INDEX(rF1.SlabBearingType,1,4)=rP1.CheckwordFixed),rF1.PlotHeightFirstFloor+IF(rF1.CheckSlabExisting03,MAX(INDEX(rF1.SlabThickness,1,1),INDEX(rF1.SlabThickness,1,3)),INDEX(rF1.SlabThickness,1,1))+rF1.WallHeight02,-5)</f>
        <v>-5</v>
      </c>
      <c r="AA58" s="225">
        <f ca="1">IF(AND(rF1.CheckSlabExisting04,OR(INDEX(rF1.SlabBearingType,1,4)=rP1.CheckwordHinged,rF1.CheckWoodenSlab04=1)),rF1.PlotHeightFirstFloor+IF(rF1.CheckSlabExisting03,MAX(INDEX(rF1.SlabThickness,1,1),INDEX(rF1.SlabThickness,1,3)),INDEX(rF1.SlabThickness,1,1))+rF1.WallHeight02,-5)</f>
        <v>-5</v>
      </c>
      <c r="AB58" s="226"/>
      <c r="AC58" s="222"/>
      <c r="AD58" s="222"/>
      <c r="AE58" s="222"/>
      <c r="AF58" s="222"/>
      <c r="AG58" s="222"/>
      <c r="AH58" s="222"/>
      <c r="AI58" s="222"/>
      <c r="AJ58" s="225"/>
      <c r="AK58" s="118"/>
    </row>
    <row r="59" spans="5:40" ht="17.25" thickTop="1" thickBot="1" x14ac:dyDescent="0.25">
      <c r="K59" s="227" t="s">
        <v>234</v>
      </c>
      <c r="L59" s="185" t="s">
        <v>7</v>
      </c>
      <c r="M59" s="376">
        <v>4</v>
      </c>
      <c r="N59" s="377">
        <v>4</v>
      </c>
      <c r="O59" s="377">
        <v>0</v>
      </c>
      <c r="P59" s="378">
        <v>3</v>
      </c>
      <c r="Q59" s="129"/>
      <c r="AJ59" s="118"/>
    </row>
    <row r="60" spans="5:40" ht="16.5" thickTop="1" x14ac:dyDescent="0.2">
      <c r="K60" s="218" t="s">
        <v>235</v>
      </c>
      <c r="L60" s="146"/>
      <c r="M60" s="228">
        <f>rF1.DeadLoadDesign+rF1.LiveLoadDesign</f>
        <v>14</v>
      </c>
      <c r="N60" s="228">
        <f>rF1.DeadLoadDesign+rF1.LiveLoadDesign</f>
        <v>14</v>
      </c>
      <c r="O60" s="228">
        <f>rF1.DeadLoadDesign+rF1.LiveLoadDesign</f>
        <v>8</v>
      </c>
      <c r="P60" s="228">
        <f>rF1.DeadLoadDesign+rF1.LiveLoadDesign</f>
        <v>8</v>
      </c>
      <c r="Q60" s="131"/>
      <c r="S60" s="149" t="s">
        <v>118</v>
      </c>
      <c r="T60" s="229"/>
      <c r="U60" s="229"/>
      <c r="V60" s="229"/>
      <c r="W60" s="229"/>
      <c r="X60" s="229"/>
      <c r="Y60" s="229"/>
      <c r="Z60" s="151"/>
      <c r="AA60" s="151"/>
      <c r="AB60" s="151"/>
      <c r="AC60" s="230" t="s">
        <v>137</v>
      </c>
      <c r="AD60" s="231" t="s">
        <v>95</v>
      </c>
      <c r="AE60" s="232" t="s">
        <v>94</v>
      </c>
      <c r="AF60" s="151"/>
      <c r="AG60" s="151"/>
      <c r="AH60" s="151"/>
      <c r="AI60" s="151"/>
      <c r="AJ60" s="152"/>
      <c r="AK60" s="118"/>
    </row>
    <row r="61" spans="5:40" ht="15" thickBot="1" x14ac:dyDescent="0.25">
      <c r="K61" s="142" t="s">
        <v>236</v>
      </c>
      <c r="L61" s="142"/>
      <c r="M61" s="143" t="s">
        <v>255</v>
      </c>
      <c r="N61" s="143" t="s">
        <v>256</v>
      </c>
      <c r="O61" s="143" t="s">
        <v>257</v>
      </c>
      <c r="P61" s="143" t="s">
        <v>258</v>
      </c>
      <c r="Q61" s="192"/>
      <c r="S61" s="155"/>
      <c r="AC61" s="233"/>
      <c r="AD61" s="198">
        <v>0</v>
      </c>
      <c r="AE61" s="186">
        <v>0</v>
      </c>
      <c r="AJ61" s="178"/>
    </row>
    <row r="62" spans="5:40" ht="15.75" thickTop="1" thickBot="1" x14ac:dyDescent="0.25">
      <c r="K62" s="234" t="s">
        <v>237</v>
      </c>
      <c r="L62" s="235"/>
      <c r="M62" s="379">
        <v>0</v>
      </c>
      <c r="N62" s="379">
        <v>0</v>
      </c>
      <c r="O62" s="379">
        <v>0</v>
      </c>
      <c r="P62" s="379">
        <v>0</v>
      </c>
      <c r="Q62" s="236"/>
      <c r="S62" s="155"/>
      <c r="AC62" s="233"/>
      <c r="AD62" s="209">
        <f ca="1">IF(rF1.CheckWoodenSlabCalc,0,rF1.MomentWindBottom)</f>
        <v>-1.500576923076923</v>
      </c>
      <c r="AE62" s="204">
        <v>0</v>
      </c>
      <c r="AJ62" s="178"/>
    </row>
    <row r="63" spans="5:40" ht="15.75" thickTop="1" thickBot="1" x14ac:dyDescent="0.25">
      <c r="K63" s="227" t="s">
        <v>238</v>
      </c>
      <c r="L63" s="185"/>
      <c r="M63" s="379">
        <v>0</v>
      </c>
      <c r="N63" s="379">
        <v>0</v>
      </c>
      <c r="O63" s="379">
        <v>0</v>
      </c>
      <c r="P63" s="379">
        <v>0</v>
      </c>
      <c r="Q63" s="129"/>
      <c r="S63" s="155"/>
      <c r="T63" s="156" t="s">
        <v>196</v>
      </c>
      <c r="U63" s="157"/>
      <c r="V63" s="237">
        <v>0</v>
      </c>
      <c r="W63" s="237">
        <v>1</v>
      </c>
      <c r="X63" s="237">
        <v>2</v>
      </c>
      <c r="Y63" s="157">
        <v>3</v>
      </c>
      <c r="AC63" s="238">
        <v>1</v>
      </c>
      <c r="AD63" s="209">
        <f t="shared" ref="AD63:AD82" ca="1" si="0">IF(rF1.CheckWoodenSlabCalc,0,rF1.MomentWindBottom+(rF1.MomentWindTop-rF1.MomentWindBottom)/MAX(rF1.PlotMomentDotsWind)*rF1.PlotMomentDotsWind+ABS(rF1.WindLoadDesign)/2*(rF1.WallHeight02*rF1.PlotHeightDotsWind-rF1.PlotHeightDotsWind^2)*MAX(rF1.SlabInfluenceWidth)/rF1.WallLenght02)</f>
        <v>-0.93035769230769227</v>
      </c>
      <c r="AE63" s="204">
        <f t="shared" ref="AE63:AE82" si="1">rF1.WallHeight02*(rF1.PlotMomentDotsWind)/MAX(rF1.PlotMomentDotsWind)</f>
        <v>0.16999999999999998</v>
      </c>
      <c r="AJ63" s="178"/>
    </row>
    <row r="64" spans="5:40" ht="15.75" thickTop="1" thickBot="1" x14ac:dyDescent="0.25">
      <c r="K64" s="227" t="s">
        <v>239</v>
      </c>
      <c r="L64" s="185"/>
      <c r="M64" s="239">
        <f>rF1.DesignLineDeadLoad+rF1.DesignLineLiveLoad</f>
        <v>0</v>
      </c>
      <c r="N64" s="239">
        <f>rF1.DesignLineDeadLoad+rF1.DesignLineLiveLoad</f>
        <v>0</v>
      </c>
      <c r="O64" s="239">
        <f>rF1.DesignLineDeadLoad+rF1.DesignLineLiveLoad</f>
        <v>0</v>
      </c>
      <c r="P64" s="239">
        <f>rF1.DesignLineDeadLoad+rF1.DesignLineLiveLoad</f>
        <v>0</v>
      </c>
      <c r="Q64" s="129"/>
      <c r="S64" s="155"/>
      <c r="T64" s="240"/>
      <c r="U64" s="241" t="s">
        <v>95</v>
      </c>
      <c r="V64" s="242">
        <v>0</v>
      </c>
      <c r="W64" s="242">
        <f ca="1">IF(rF1.CheckWoodenSlabCalc,0,rF1.BendingMomentDecBottom)</f>
        <v>3.9022048138929311</v>
      </c>
      <c r="X64" s="242">
        <f ca="1">IF(rF1.CheckWoodenSlabCalc,0,rF1.BendingMomentDecTop)</f>
        <v>-6.3452945484194876</v>
      </c>
      <c r="Y64" s="243">
        <v>0</v>
      </c>
      <c r="AC64" s="238">
        <v>2</v>
      </c>
      <c r="AD64" s="209">
        <f t="shared" ca="1" si="0"/>
        <v>-0.42016153846153825</v>
      </c>
      <c r="AE64" s="204">
        <f t="shared" si="1"/>
        <v>0.33999999999999997</v>
      </c>
      <c r="AJ64" s="178"/>
    </row>
    <row r="65" spans="5:36" ht="15.75" thickTop="1" thickBot="1" x14ac:dyDescent="0.25">
      <c r="E65" s="145">
        <f ca="1">INDEX(rF1.SlabSpanPerpendicular,1,1)+MAX(INDEX(rF1.WallThickness,1,1),rF1.WallThickness02)/2</f>
        <v>6.0324999999999998</v>
      </c>
      <c r="F65" s="145">
        <f ca="1">INDEX(rF1.SlabSpanPerpendicular,1,2)+MAX(INDEX(rF1.WallThickness,1,3),rF1.WallThickness02)/2</f>
        <v>6.0324999999999998</v>
      </c>
      <c r="G65" s="145">
        <f ca="1">INDEX(rF1.SlabSpanPerpendicular,1,3)+MAX(INDEX(rF1.WallThickness,1,1),rF1.WallThickness02)/2</f>
        <v>5.1825000000000001</v>
      </c>
      <c r="H65" s="145">
        <f ca="1">INDEX(rF1.SlabSpanPerpendicular,1,4)+MAX(INDEX(rF1.WallThickness,1,3),rF1.WallThickness02)/2</f>
        <v>2.6825000000000001</v>
      </c>
      <c r="K65" s="244" t="s">
        <v>240</v>
      </c>
      <c r="L65" s="187"/>
      <c r="M65" s="86">
        <v>0</v>
      </c>
      <c r="N65" s="86">
        <v>0</v>
      </c>
      <c r="O65" s="86">
        <v>0</v>
      </c>
      <c r="P65" s="86">
        <v>0</v>
      </c>
      <c r="Q65" s="153"/>
      <c r="S65" s="155"/>
      <c r="T65" s="166"/>
      <c r="U65" s="167" t="s">
        <v>94</v>
      </c>
      <c r="V65" s="245">
        <v>0</v>
      </c>
      <c r="W65" s="245">
        <v>0</v>
      </c>
      <c r="X65" s="245">
        <f>rF1.WallHeight02</f>
        <v>3.4</v>
      </c>
      <c r="Y65" s="246">
        <f>rF1.WallHeight02</f>
        <v>3.4</v>
      </c>
      <c r="AC65" s="238">
        <v>3</v>
      </c>
      <c r="AD65" s="209">
        <f t="shared" ca="1" si="0"/>
        <v>3.0011538461538478E-2</v>
      </c>
      <c r="AE65" s="204">
        <f t="shared" si="1"/>
        <v>0.51</v>
      </c>
      <c r="AJ65" s="178"/>
    </row>
    <row r="66" spans="5:36" ht="15.75" thickTop="1" thickBot="1" x14ac:dyDescent="0.25">
      <c r="K66" s="142" t="s">
        <v>241</v>
      </c>
      <c r="L66" s="142"/>
      <c r="M66" s="143" t="s">
        <v>259</v>
      </c>
      <c r="N66" s="143" t="s">
        <v>260</v>
      </c>
      <c r="O66" s="143" t="s">
        <v>261</v>
      </c>
      <c r="P66" s="143" t="s">
        <v>473</v>
      </c>
      <c r="Q66" s="247"/>
      <c r="S66" s="155"/>
      <c r="AC66" s="238">
        <v>4</v>
      </c>
      <c r="AD66" s="209">
        <f t="shared" ca="1" si="0"/>
        <v>0.42016153846153848</v>
      </c>
      <c r="AE66" s="204">
        <f t="shared" si="1"/>
        <v>0.67999999999999994</v>
      </c>
      <c r="AJ66" s="178"/>
    </row>
    <row r="67" spans="5:36" ht="17.25" thickTop="1" thickBot="1" x14ac:dyDescent="0.25">
      <c r="K67" s="235" t="s">
        <v>242</v>
      </c>
      <c r="L67" s="235" t="s">
        <v>62</v>
      </c>
      <c r="M67" s="396">
        <v>50</v>
      </c>
      <c r="N67" s="397">
        <v>20</v>
      </c>
      <c r="O67" s="398">
        <f>rF1.WallAxForceDeadTop+rF1.WallAxForceLiveTop</f>
        <v>70</v>
      </c>
      <c r="P67" s="252">
        <f>(rF1.WallAxForceDeadTop+rF1.WallAxForceLiveTop)/rF1.WallLenght02</f>
        <v>53.846153846153847</v>
      </c>
      <c r="Q67" s="236"/>
      <c r="S67" s="249"/>
      <c r="T67" s="158" t="s">
        <v>119</v>
      </c>
      <c r="U67" s="162" t="s">
        <v>93</v>
      </c>
      <c r="V67" s="250">
        <f ca="1">IF(AND(rF1.BendingMomentDecBottom=0,rF1.BendingMomentDecTop=0),1,MAX(ABS(rF1.BendingMomentDecBottom),ABS(rF1.BendingMomentDecTop),0.5)*rF1.PlotOutlineFactor02)</f>
        <v>7.2970887306824102</v>
      </c>
      <c r="W67" s="251">
        <f ca="1">-IF(AND(rF1.BendingMomentDecBottom=0,rF1.BendingMomentDecTop=0),1,MAX(ABS(rF1.BendingMomentDecBottom),ABS(rF1.BendingMomentDecTop),0.5)*rF1.PlotOutlineFactor02)</f>
        <v>-7.2970887306824102</v>
      </c>
      <c r="AC67" s="238">
        <v>5</v>
      </c>
      <c r="AD67" s="209">
        <f t="shared" ca="1" si="0"/>
        <v>0.75028846153846107</v>
      </c>
      <c r="AE67" s="204">
        <f t="shared" si="1"/>
        <v>0.85</v>
      </c>
      <c r="AJ67" s="178"/>
    </row>
    <row r="68" spans="5:36" ht="17.25" thickTop="1" thickBot="1" x14ac:dyDescent="0.25">
      <c r="K68" s="146" t="s">
        <v>243</v>
      </c>
      <c r="L68" s="146" t="s">
        <v>33</v>
      </c>
      <c r="M68" s="392"/>
      <c r="N68" s="393"/>
      <c r="O68" s="254">
        <f ca="1">IF(rF1.CheckAxForceCalculation,(rF1.WallAxForceDeadTop+rF1.WallAxForceLiveTop+rF1.WallAxForceDeadCalcBottom)/2,rF1.WallAxForceDeadMiddleInput+rF1.WallAxForceLiveMiddleInput)</f>
        <v>80.54384563375001</v>
      </c>
      <c r="P68" s="252">
        <f ca="1">rF1.WallAxForceDeadCalcMiddle/rF1.WallLenght02</f>
        <v>61.956804333653849</v>
      </c>
      <c r="Q68" s="131"/>
      <c r="S68" s="202" t="s">
        <v>123</v>
      </c>
      <c r="T68" s="189">
        <v>1.1499999999999999</v>
      </c>
      <c r="U68" s="167" t="s">
        <v>94</v>
      </c>
      <c r="V68" s="253">
        <f>rF1.WallHeight02</f>
        <v>3.4</v>
      </c>
      <c r="W68" s="246">
        <f>rF1.WallHeight02</f>
        <v>3.4</v>
      </c>
      <c r="AC68" s="238">
        <v>6</v>
      </c>
      <c r="AD68" s="209">
        <f t="shared" ca="1" si="0"/>
        <v>1.0203923076923078</v>
      </c>
      <c r="AE68" s="204">
        <f t="shared" si="1"/>
        <v>1.02</v>
      </c>
      <c r="AJ68" s="178"/>
    </row>
    <row r="69" spans="5:36" ht="15" customHeight="1" thickTop="1" thickBot="1" x14ac:dyDescent="0.25">
      <c r="K69" s="185" t="s">
        <v>244</v>
      </c>
      <c r="L69" s="185" t="s">
        <v>34</v>
      </c>
      <c r="M69" s="394"/>
      <c r="N69" s="393"/>
      <c r="O69" s="255">
        <f ca="1">IF(rF1.CheckAxForceCalculation,rF1.WallAxForceDeadTop+rF1.WallAxForceLiveTop+rF1.WallHeight02*rF1.WallWeight02*rF1.WallLenght02*rP1.Gravitation*rF1.SafetyFactorDeadLoad/1000,rF1.WallAxForceDeadBottomInput+rF1.WallAxForceLiveBottomInput)</f>
        <v>91.087691267500006</v>
      </c>
      <c r="P69" s="256">
        <f ca="1">rF1.WallAxForceDeadCalcBottom/rF1.WallLenght02</f>
        <v>70.067454821153845</v>
      </c>
      <c r="Q69" s="129"/>
      <c r="S69" s="155"/>
      <c r="AC69" s="238">
        <v>7</v>
      </c>
      <c r="AD69" s="209">
        <f t="shared" ca="1" si="0"/>
        <v>1.2304730769230763</v>
      </c>
      <c r="AE69" s="204">
        <f t="shared" si="1"/>
        <v>1.19</v>
      </c>
      <c r="AJ69" s="178"/>
    </row>
    <row r="70" spans="5:36" ht="15" customHeight="1" thickTop="1" x14ac:dyDescent="0.2">
      <c r="G70" s="64" t="b">
        <v>1</v>
      </c>
      <c r="H70" s="212">
        <f ca="1">OFFSET(rD4.SafetyFactorDeadLoadList,rF1.SafetyFactorDeadLoadSelection-1,0,1,1)</f>
        <v>1.35</v>
      </c>
      <c r="K70" s="146"/>
      <c r="L70" s="146"/>
      <c r="M70" s="257"/>
      <c r="N70" s="257"/>
      <c r="O70" s="258" t="str">
        <f>rP2.OutputSafetyFacotrWall</f>
        <v>Teilsicherheitsbeiwert für Eigengewicht Wand =</v>
      </c>
      <c r="P70" s="258"/>
      <c r="Q70" s="131"/>
      <c r="S70" s="155"/>
      <c r="T70" s="158" t="s">
        <v>117</v>
      </c>
      <c r="U70" s="162" t="s">
        <v>93</v>
      </c>
      <c r="V70" s="250">
        <v>0</v>
      </c>
      <c r="W70" s="251">
        <v>0</v>
      </c>
      <c r="AC70" s="238">
        <v>8</v>
      </c>
      <c r="AD70" s="209">
        <f t="shared" ca="1" si="0"/>
        <v>1.3805307692307696</v>
      </c>
      <c r="AE70" s="204">
        <f t="shared" si="1"/>
        <v>1.3599999999999999</v>
      </c>
      <c r="AJ70" s="178"/>
    </row>
    <row r="71" spans="5:36" ht="15" customHeight="1" thickBot="1" x14ac:dyDescent="0.25">
      <c r="K71" s="142" t="s">
        <v>570</v>
      </c>
      <c r="L71" s="142"/>
      <c r="M71" s="143"/>
      <c r="N71" s="143"/>
      <c r="O71" s="143"/>
      <c r="P71" s="143"/>
      <c r="Q71" s="192"/>
      <c r="S71" s="155"/>
      <c r="T71" s="191"/>
      <c r="U71" s="167" t="s">
        <v>94</v>
      </c>
      <c r="V71" s="253">
        <v>0</v>
      </c>
      <c r="W71" s="246">
        <f>rF1.WallHeight02</f>
        <v>3.4</v>
      </c>
      <c r="AC71" s="238">
        <v>9</v>
      </c>
      <c r="AD71" s="209">
        <f t="shared" ca="1" si="0"/>
        <v>1.4705653846153841</v>
      </c>
      <c r="AE71" s="204">
        <f t="shared" si="1"/>
        <v>1.5299999999999998</v>
      </c>
      <c r="AJ71" s="178"/>
    </row>
    <row r="72" spans="5:36" ht="17.25" thickTop="1" thickBot="1" x14ac:dyDescent="0.25">
      <c r="K72" s="187" t="s">
        <v>245</v>
      </c>
      <c r="L72" s="187" t="s">
        <v>35</v>
      </c>
      <c r="M72" s="104">
        <v>0.5</v>
      </c>
      <c r="N72" s="260" t="s">
        <v>574</v>
      </c>
      <c r="O72" s="153"/>
      <c r="P72" s="261" t="s">
        <v>483</v>
      </c>
      <c r="Q72" s="153"/>
      <c r="S72" s="155"/>
      <c r="AC72" s="238">
        <v>10</v>
      </c>
      <c r="AD72" s="209">
        <f t="shared" ca="1" si="0"/>
        <v>1.500576923076923</v>
      </c>
      <c r="AE72" s="204">
        <f t="shared" si="1"/>
        <v>1.7</v>
      </c>
      <c r="AJ72" s="178"/>
    </row>
    <row r="73" spans="5:36" ht="15" customHeight="1" thickTop="1" x14ac:dyDescent="0.2">
      <c r="K73" s="137" t="s">
        <v>469</v>
      </c>
      <c r="L73" s="138"/>
      <c r="M73" s="138"/>
      <c r="N73" s="138"/>
      <c r="O73" s="138"/>
      <c r="P73" s="138"/>
      <c r="Q73" s="138"/>
      <c r="S73" s="155"/>
      <c r="AC73" s="238">
        <v>11</v>
      </c>
      <c r="AD73" s="209">
        <f t="shared" ca="1" si="0"/>
        <v>1.470565384615385</v>
      </c>
      <c r="AE73" s="204">
        <f t="shared" si="1"/>
        <v>1.8699999999999999</v>
      </c>
      <c r="AJ73" s="259"/>
    </row>
    <row r="74" spans="5:36" ht="15" customHeight="1" x14ac:dyDescent="0.2">
      <c r="K74" s="140" t="s">
        <v>246</v>
      </c>
      <c r="L74" s="140"/>
      <c r="M74" s="262" t="s">
        <v>262</v>
      </c>
      <c r="N74" s="262" t="s">
        <v>263</v>
      </c>
      <c r="O74" s="262" t="s">
        <v>264</v>
      </c>
      <c r="P74" s="140"/>
      <c r="Q74" s="141"/>
      <c r="S74" s="155"/>
      <c r="AC74" s="238">
        <v>12</v>
      </c>
      <c r="AD74" s="209">
        <f t="shared" ca="1" si="0"/>
        <v>1.3805307692307696</v>
      </c>
      <c r="AE74" s="204">
        <f t="shared" si="1"/>
        <v>2.04</v>
      </c>
      <c r="AJ74" s="259"/>
    </row>
    <row r="75" spans="5:36" ht="15" customHeight="1" x14ac:dyDescent="0.2">
      <c r="G75" s="145">
        <f ca="1">IF(OR(AND(rF1.CheckWoodenSlab01,rF1.CheckBendingMomentSlabBottom=FALSE),AND(rF1.CheckWoodenSlab02,rF1.CheckBendingMomentSlabTop=FALSE)),1,0)</f>
        <v>0</v>
      </c>
      <c r="K75" s="142" t="s">
        <v>247</v>
      </c>
      <c r="L75" s="142"/>
      <c r="M75" s="263" t="str">
        <f ca="1">IF(rF1.CheckWoodenSlabCalc,rP2.OutputEccentricityWoodenSlab,"")</f>
        <v/>
      </c>
      <c r="N75" s="143"/>
      <c r="O75" s="143"/>
      <c r="P75" s="143"/>
      <c r="Q75" s="192"/>
      <c r="S75" s="155"/>
      <c r="AC75" s="238">
        <v>13</v>
      </c>
      <c r="AD75" s="209">
        <f t="shared" ca="1" si="0"/>
        <v>1.2304730769230763</v>
      </c>
      <c r="AE75" s="204">
        <f t="shared" si="1"/>
        <v>2.21</v>
      </c>
      <c r="AJ75" s="259"/>
    </row>
    <row r="76" spans="5:36" ht="15.75" x14ac:dyDescent="0.2">
      <c r="K76" s="146" t="s">
        <v>248</v>
      </c>
      <c r="L76" s="146" t="s">
        <v>107</v>
      </c>
      <c r="M76" s="264">
        <f>rF1.WallAxForceTop</f>
        <v>53.846153846153847</v>
      </c>
      <c r="N76" s="264">
        <f ca="1">rF1.WallAxForceMiddle</f>
        <v>61.956804333653849</v>
      </c>
      <c r="O76" s="264">
        <f ca="1">rF1.WallAxForceBottom</f>
        <v>70.067454821153845</v>
      </c>
      <c r="P76" s="265"/>
      <c r="Q76" s="265"/>
      <c r="S76" s="155"/>
      <c r="AC76" s="238">
        <v>14</v>
      </c>
      <c r="AD76" s="209">
        <f t="shared" ca="1" si="0"/>
        <v>1.0203923076923069</v>
      </c>
      <c r="AE76" s="204">
        <f t="shared" si="1"/>
        <v>2.38</v>
      </c>
      <c r="AJ76" s="259"/>
    </row>
    <row r="77" spans="5:36" ht="15.75" x14ac:dyDescent="0.2">
      <c r="K77" s="266" t="s">
        <v>595</v>
      </c>
      <c r="L77" s="266" t="s">
        <v>596</v>
      </c>
      <c r="M77" s="267">
        <f ca="1">rF1.EccentricityTotalTop*rF1.WallAxForceTop</f>
        <v>7.8458714714964097</v>
      </c>
      <c r="N77" s="267">
        <f ca="1">rF1.EccentricityTotalMiddle*rF1.WallAxForceMiddle</f>
        <v>4.2744839433667492</v>
      </c>
      <c r="O77" s="267">
        <f ca="1">rF1.EccentricityTotalBottom*rF1.WallAxForceBottom</f>
        <v>5.4027817369698541</v>
      </c>
      <c r="P77" s="268"/>
      <c r="Q77" s="268"/>
      <c r="S77" s="155"/>
      <c r="AC77" s="238">
        <v>15</v>
      </c>
      <c r="AD77" s="209">
        <f t="shared" ca="1" si="0"/>
        <v>0.75028846153846196</v>
      </c>
      <c r="AE77" s="204">
        <f t="shared" si="1"/>
        <v>2.5499999999999998</v>
      </c>
      <c r="AJ77" s="259"/>
    </row>
    <row r="78" spans="5:36" x14ac:dyDescent="0.2">
      <c r="K78" s="142" t="s">
        <v>249</v>
      </c>
      <c r="L78" s="142"/>
      <c r="M78" s="263" t="str">
        <f ca="1">IF(rF1.CheckWoodenSlabCalc,rP2.OutputEccentricityWoodenSlab,"")</f>
        <v/>
      </c>
      <c r="N78" s="143"/>
      <c r="O78" s="143"/>
      <c r="P78" s="143"/>
      <c r="Q78" s="192"/>
      <c r="R78" s="117"/>
      <c r="S78" s="155"/>
      <c r="AC78" s="238">
        <v>16</v>
      </c>
      <c r="AD78" s="209">
        <f t="shared" ca="1" si="0"/>
        <v>0.42016153846153914</v>
      </c>
      <c r="AE78" s="204">
        <f t="shared" si="1"/>
        <v>2.7199999999999998</v>
      </c>
      <c r="AJ78" s="259"/>
    </row>
    <row r="79" spans="5:36" ht="15.75" x14ac:dyDescent="0.2">
      <c r="K79" s="146" t="s">
        <v>554</v>
      </c>
      <c r="L79" s="146" t="s">
        <v>108</v>
      </c>
      <c r="M79" s="271">
        <f ca="1">rF1.EccentricityTotalTop</f>
        <v>0.14570904161350476</v>
      </c>
      <c r="N79" s="271">
        <f ca="1">rF1.EccentricityTotalMiddle</f>
        <v>6.8991355983234998E-2</v>
      </c>
      <c r="O79" s="271">
        <f ca="1">rF1.EccentricityTotalBottom</f>
        <v>7.7108291585021541E-2</v>
      </c>
      <c r="P79" s="265"/>
      <c r="Q79" s="265"/>
      <c r="R79" s="117"/>
      <c r="S79" s="155"/>
      <c r="AC79" s="238">
        <v>17</v>
      </c>
      <c r="AD79" s="209">
        <f t="shared" ca="1" si="0"/>
        <v>3.0011538461538922E-2</v>
      </c>
      <c r="AE79" s="204">
        <f t="shared" si="1"/>
        <v>2.8899999999999997</v>
      </c>
      <c r="AJ79" s="259"/>
    </row>
    <row r="80" spans="5:36" ht="15" customHeight="1" x14ac:dyDescent="0.2">
      <c r="K80" s="266" t="s">
        <v>250</v>
      </c>
      <c r="L80" s="272" t="s">
        <v>109</v>
      </c>
      <c r="M80" s="273">
        <f ca="1">rF1.ReductionEccentricityTop</f>
        <v>0.11691489931209242</v>
      </c>
      <c r="N80" s="273">
        <f ca="1">rF1.ReductionEccentricityMiddle</f>
        <v>0.4854786530362305</v>
      </c>
      <c r="O80" s="273">
        <f ca="1">rF1.ReductionEccentricityBottom</f>
        <v>0.5326770206968392</v>
      </c>
      <c r="P80" s="268"/>
      <c r="Q80" s="268"/>
      <c r="S80" s="155"/>
      <c r="W80" s="269"/>
      <c r="X80" s="158" t="s">
        <v>119</v>
      </c>
      <c r="Y80" s="162" t="s">
        <v>93</v>
      </c>
      <c r="Z80" s="250">
        <f ca="1">MAX(ABS(rF1.MomentWindTop),ABS(rF1.MomentWindMiddle),0.5)*rF1.PlotOutlineFactor03</f>
        <v>1.7256634615384614</v>
      </c>
      <c r="AA80" s="251">
        <f ca="1">-MAX(ABS(rF1.MomentWindTop),ABS(rF1.MomentWindMiddle),0.5)*rF1.PlotOutlineFactor03</f>
        <v>-1.7256634615384614</v>
      </c>
      <c r="AC80" s="238">
        <v>18</v>
      </c>
      <c r="AD80" s="209">
        <f t="shared" ca="1" si="0"/>
        <v>-0.42016153846153825</v>
      </c>
      <c r="AE80" s="204">
        <f t="shared" si="1"/>
        <v>3.0599999999999996</v>
      </c>
      <c r="AJ80" s="259"/>
    </row>
    <row r="81" spans="11:36" ht="15" customHeight="1" x14ac:dyDescent="0.2">
      <c r="K81" s="276" t="s">
        <v>251</v>
      </c>
      <c r="L81" s="276" t="s">
        <v>590</v>
      </c>
      <c r="M81" s="277">
        <f ca="1">rF1.AxResistanceTop</f>
        <v>126.80589979389545</v>
      </c>
      <c r="N81" s="277">
        <f ca="1">rF1.AxResistanceMiddle</f>
        <v>582.39637480402985</v>
      </c>
      <c r="O81" s="277">
        <f ca="1">rF1.AxResistanceBottom</f>
        <v>577.74149664779168</v>
      </c>
      <c r="P81" s="265"/>
      <c r="Q81" s="265"/>
      <c r="R81" s="117"/>
      <c r="S81" s="155"/>
      <c r="W81" s="270" t="s">
        <v>123</v>
      </c>
      <c r="X81" s="189">
        <v>1.1499999999999999</v>
      </c>
      <c r="Y81" s="167" t="s">
        <v>94</v>
      </c>
      <c r="Z81" s="253">
        <f>rF1.WallHeight02</f>
        <v>3.4</v>
      </c>
      <c r="AA81" s="246">
        <f>rF1.WallHeight02</f>
        <v>3.4</v>
      </c>
      <c r="AC81" s="238">
        <v>19</v>
      </c>
      <c r="AD81" s="209">
        <f t="shared" ca="1" si="0"/>
        <v>-0.93035769230769116</v>
      </c>
      <c r="AE81" s="204">
        <f t="shared" si="1"/>
        <v>3.2299999999999995</v>
      </c>
      <c r="AJ81" s="259"/>
    </row>
    <row r="82" spans="11:36" ht="15" customHeight="1" x14ac:dyDescent="0.2">
      <c r="K82" s="278" t="s">
        <v>252</v>
      </c>
      <c r="L82" s="279" t="s">
        <v>110</v>
      </c>
      <c r="M82" s="280">
        <f ca="1">rF1.LoadFactorTop</f>
        <v>0.42463445260569849</v>
      </c>
      <c r="N82" s="280">
        <f ca="1">rF1.LoadFactorMiddle</f>
        <v>0.10638253775961716</v>
      </c>
      <c r="O82" s="280">
        <f ca="1">rF1.LoadFactorBottom</f>
        <v>0.12127821045866304</v>
      </c>
      <c r="P82" s="281"/>
      <c r="Q82" s="281"/>
      <c r="R82" s="117"/>
      <c r="S82" s="155"/>
      <c r="AC82" s="238">
        <v>20</v>
      </c>
      <c r="AD82" s="209">
        <f t="shared" ca="1" si="0"/>
        <v>-1.500576923076923</v>
      </c>
      <c r="AE82" s="204">
        <f t="shared" si="1"/>
        <v>3.4</v>
      </c>
      <c r="AJ82" s="259"/>
    </row>
    <row r="83" spans="11:36" ht="15" customHeight="1" thickBot="1" x14ac:dyDescent="0.25">
      <c r="K83" s="276"/>
      <c r="L83" s="282"/>
      <c r="M83" s="283" t="str">
        <f ca="1">IF(rF1.LoadFactorTop&lt;=1,rP2.OutputProofFulfilled,IF(rF1.LoadFactorTop&gt;1,rP2.OutputProofNotFulfilled,""))</f>
        <v>NEd &lt; NRd</v>
      </c>
      <c r="N83" s="283" t="str">
        <f ca="1">IF(rF1.LoadFactorMiddle&lt;=1,rP2.OutputProofFulfilled,IF(rF1.LoadFactorMiddle&gt;1,rP2.OutputProofNotFulfilled,""))</f>
        <v>NEd &lt; NRd</v>
      </c>
      <c r="O83" s="283" t="str">
        <f ca="1">IF(rF1.LoadFactorBottom&lt;=1,rP2.OutputProofFulfilled,IF(rF1.LoadFactorBottom&gt;1,rP2.OutputProofNotFulfilled,""))</f>
        <v>NEd &lt; NRd</v>
      </c>
      <c r="P83" s="175"/>
      <c r="Q83" s="175"/>
      <c r="R83" s="117"/>
      <c r="S83" s="219"/>
      <c r="T83" s="222"/>
      <c r="U83" s="222"/>
      <c r="V83" s="222"/>
      <c r="W83" s="222"/>
      <c r="X83" s="222"/>
      <c r="Y83" s="222"/>
      <c r="Z83" s="222"/>
      <c r="AA83" s="222"/>
      <c r="AB83" s="222"/>
      <c r="AC83" s="274"/>
      <c r="AD83" s="224">
        <v>0</v>
      </c>
      <c r="AE83" s="223">
        <f>rF1.WallHeight02</f>
        <v>3.4</v>
      </c>
      <c r="AF83" s="222"/>
      <c r="AG83" s="222"/>
      <c r="AH83" s="222"/>
      <c r="AI83" s="222"/>
      <c r="AJ83" s="275"/>
    </row>
    <row r="84" spans="11:36" ht="15" customHeight="1" x14ac:dyDescent="0.2">
      <c r="K84" s="142" t="s">
        <v>584</v>
      </c>
      <c r="L84" s="142"/>
      <c r="M84" s="381" t="str">
        <f ca="1">IF(rF1.CheckWoodenSlabCalc,rP2.OutputEccentricityWoodenSlab,IF(rF1.CheckFireResManual02,rP2.OutputFireProofManual02,IF(rF1.CheckFireResColumn,rP2.FireProofManual,IF(rF1.LoadFactorTopFireMax=0,rP2.OutputFireResClassFail,""))))</f>
        <v/>
      </c>
      <c r="N84" s="143"/>
      <c r="O84" s="143"/>
      <c r="P84" s="143"/>
      <c r="Q84" s="192"/>
      <c r="R84" s="117"/>
    </row>
    <row r="85" spans="11:36" ht="15" customHeight="1" x14ac:dyDescent="0.2">
      <c r="K85" s="146" t="s">
        <v>526</v>
      </c>
      <c r="L85" s="284" t="s">
        <v>524</v>
      </c>
      <c r="M85" s="285">
        <f ca="1">rF1.LoadFactorTopFireReduced</f>
        <v>0.29724411682398894</v>
      </c>
      <c r="N85" s="285">
        <f ca="1">rF1.LoadFactorMiddleFireReduced</f>
        <v>7.4467776431732011E-2</v>
      </c>
      <c r="O85" s="285">
        <f ca="1">rF1.LoadFactorBottomFireReduced</f>
        <v>8.4894747321064126E-2</v>
      </c>
      <c r="P85" s="175"/>
      <c r="Q85" s="175"/>
      <c r="R85" s="117"/>
    </row>
    <row r="86" spans="11:36" ht="15" customHeight="1" x14ac:dyDescent="0.2">
      <c r="K86" s="266" t="s">
        <v>525</v>
      </c>
      <c r="L86" s="286" t="s">
        <v>489</v>
      </c>
      <c r="M86" s="287">
        <f ca="1">rF1.LoadFactorTopFireMax</f>
        <v>0.47</v>
      </c>
      <c r="N86" s="287">
        <f ca="1">rF1.LoadFactorMiddleFireMax</f>
        <v>0.47</v>
      </c>
      <c r="O86" s="287">
        <f ca="1">rF1.LoadFactorBottomFireMax</f>
        <v>0.47</v>
      </c>
      <c r="P86" s="281"/>
      <c r="Q86" s="281"/>
    </row>
    <row r="87" spans="11:36" ht="15" customHeight="1" x14ac:dyDescent="0.2">
      <c r="K87" s="276" t="s">
        <v>487</v>
      </c>
      <c r="L87" s="282" t="s">
        <v>488</v>
      </c>
      <c r="M87" s="288">
        <f ca="1">rF1.LoadFactorTopFire</f>
        <v>0.63243429111487015</v>
      </c>
      <c r="N87" s="288">
        <f ca="1">rF1.LoadFactorMiddleFire</f>
        <v>0.15844207751432343</v>
      </c>
      <c r="O87" s="288">
        <f ca="1">rF1.LoadFactorBottomFire</f>
        <v>0.18062712195971092</v>
      </c>
      <c r="P87" s="175"/>
      <c r="Q87" s="175"/>
      <c r="R87" s="117"/>
    </row>
    <row r="88" spans="11:36" ht="15" customHeight="1" x14ac:dyDescent="0.2">
      <c r="K88" s="140" t="s">
        <v>253</v>
      </c>
      <c r="L88" s="140"/>
      <c r="M88" s="140"/>
      <c r="N88" s="140"/>
      <c r="O88" s="140"/>
      <c r="P88" s="140"/>
      <c r="Q88" s="141"/>
      <c r="R88" s="117"/>
    </row>
    <row r="89" spans="11:36" ht="15" customHeight="1" x14ac:dyDescent="0.2">
      <c r="K89" s="290" t="s">
        <v>254</v>
      </c>
      <c r="L89" s="291"/>
      <c r="M89" s="292"/>
      <c r="N89" s="293" t="s">
        <v>265</v>
      </c>
      <c r="O89" s="292"/>
      <c r="P89" s="294"/>
      <c r="Q89" s="294"/>
      <c r="R89" s="117"/>
    </row>
    <row r="90" spans="11:36" ht="15" customHeight="1" thickBot="1" x14ac:dyDescent="0.25">
      <c r="K90" s="170"/>
      <c r="L90" s="146"/>
      <c r="M90" s="295"/>
      <c r="N90" s="295"/>
      <c r="O90" s="295"/>
      <c r="P90" s="265"/>
      <c r="Q90" s="265"/>
    </row>
    <row r="91" spans="11:36" ht="15" customHeight="1" x14ac:dyDescent="0.2">
      <c r="K91" s="170"/>
      <c r="L91" s="146"/>
      <c r="M91" s="295"/>
      <c r="N91" s="295"/>
      <c r="O91" s="295"/>
      <c r="P91" s="265"/>
      <c r="Q91" s="265"/>
      <c r="R91" s="409"/>
      <c r="S91" s="149" t="s">
        <v>120</v>
      </c>
      <c r="T91" s="151"/>
      <c r="U91" s="151"/>
      <c r="V91" s="151"/>
      <c r="W91" s="151"/>
      <c r="X91" s="151"/>
      <c r="Y91" s="151"/>
      <c r="Z91" s="151"/>
      <c r="AA91" s="151"/>
      <c r="AB91" s="151"/>
      <c r="AC91" s="151"/>
      <c r="AD91" s="151"/>
      <c r="AE91" s="151"/>
      <c r="AF91" s="151"/>
      <c r="AG91" s="151"/>
      <c r="AH91" s="151"/>
      <c r="AI91" s="289"/>
    </row>
    <row r="92" spans="11:36" ht="15" customHeight="1" x14ac:dyDescent="0.2">
      <c r="K92" s="170"/>
      <c r="L92" s="146"/>
      <c r="M92" s="295"/>
      <c r="N92" s="295"/>
      <c r="O92" s="295"/>
      <c r="P92" s="265"/>
      <c r="Q92" s="265"/>
      <c r="R92" s="117"/>
      <c r="S92" s="155"/>
      <c r="AI92" s="259"/>
    </row>
    <row r="93" spans="11:36" ht="15" customHeight="1" x14ac:dyDescent="0.2">
      <c r="K93" s="170"/>
      <c r="L93" s="146"/>
      <c r="M93" s="295"/>
      <c r="N93" s="295"/>
      <c r="O93" s="295"/>
      <c r="P93" s="265"/>
      <c r="Q93" s="265"/>
      <c r="R93" s="117"/>
      <c r="S93" s="155"/>
      <c r="T93" s="210" t="s">
        <v>96</v>
      </c>
      <c r="U93" s="296">
        <f ca="1">(rF1.BearingDepthTop02-2*0.05*rF1.BearingDepthTop02)*rF1.ReductionMasonryStrenghtArea02*rF1.ReductionMasonryStrengthLongTerm*rF1.MasonryStrenghtChar02/rF1.SafetyFactorMaterial02*1000</f>
        <v>976.14</v>
      </c>
      <c r="X93" s="210" t="s">
        <v>96</v>
      </c>
      <c r="Y93" s="296">
        <f ca="1">(rF1.BearingDepthBottom02-2*0.05*rF1.BearingDepthBottom02)*rF1.ReductionMasonryStrenghtArea02*rF1.ReductionMasonryStrengthLongTerm*rF1.MasonryStrenghtChar02/rF1.SafetyFactorMaterial02*1000</f>
        <v>976.14</v>
      </c>
      <c r="AB93" s="210" t="s">
        <v>96</v>
      </c>
      <c r="AC93" s="297" t="s">
        <v>0</v>
      </c>
      <c r="AI93" s="259"/>
    </row>
    <row r="94" spans="11:36" x14ac:dyDescent="0.2">
      <c r="K94" s="170"/>
      <c r="L94" s="146"/>
      <c r="M94" s="295"/>
      <c r="N94" s="295"/>
      <c r="O94" s="295"/>
      <c r="P94" s="265"/>
      <c r="Q94" s="265"/>
      <c r="R94" s="117"/>
      <c r="S94" s="155"/>
      <c r="T94" s="238" t="s">
        <v>100</v>
      </c>
      <c r="U94" s="233">
        <f>rF1.BearingDepthTop02</f>
        <v>0.33</v>
      </c>
      <c r="X94" s="238" t="s">
        <v>100</v>
      </c>
      <c r="Y94" s="233">
        <f>rF1.BearingDepthBottom02</f>
        <v>0.33</v>
      </c>
      <c r="AB94" s="238" t="s">
        <v>100</v>
      </c>
      <c r="AC94" s="298" t="s">
        <v>0</v>
      </c>
      <c r="AI94" s="259"/>
    </row>
    <row r="95" spans="11:36" x14ac:dyDescent="0.2">
      <c r="K95" s="170"/>
      <c r="L95" s="146"/>
      <c r="M95" s="295"/>
      <c r="N95" s="295"/>
      <c r="O95" s="295"/>
      <c r="P95" s="265"/>
      <c r="Q95" s="265"/>
      <c r="R95" s="117"/>
      <c r="S95" s="155"/>
      <c r="T95" s="238" t="s">
        <v>101</v>
      </c>
      <c r="U95" s="298" t="s">
        <v>0</v>
      </c>
      <c r="X95" s="238" t="s">
        <v>101</v>
      </c>
      <c r="Y95" s="298" t="s">
        <v>0</v>
      </c>
      <c r="AB95" s="238" t="s">
        <v>101</v>
      </c>
      <c r="AC95" s="233">
        <f ca="1">rF1.WallThickness02/2</f>
        <v>0.1825</v>
      </c>
      <c r="AI95" s="259"/>
    </row>
    <row r="96" spans="11:36" x14ac:dyDescent="0.2">
      <c r="K96" s="170"/>
      <c r="L96" s="146"/>
      <c r="M96" s="295"/>
      <c r="N96" s="295"/>
      <c r="O96" s="295"/>
      <c r="P96" s="265"/>
      <c r="Q96" s="265"/>
      <c r="R96" s="117"/>
      <c r="S96" s="155"/>
      <c r="T96" s="238" t="s">
        <v>105</v>
      </c>
      <c r="U96" s="233">
        <f ca="1">IF(rF1.CheckWoodenSlabCalc,-5,rF1.WallAxForceTop*rF1.EccentricityTotalTop)</f>
        <v>7.8458714714964097</v>
      </c>
      <c r="X96" s="238" t="s">
        <v>105</v>
      </c>
      <c r="Y96" s="233">
        <f ca="1">IF(rF1.CheckWoodenSlabCalc,-5,rF1.WallAxForceBottom*rF1.EccentricityTotalBottom)</f>
        <v>5.4027817369698541</v>
      </c>
      <c r="AB96" s="238" t="s">
        <v>105</v>
      </c>
      <c r="AC96" s="233">
        <f ca="1">IF(rF1.CheckWoodenSlabCalc,-5,rF1.WallAxForceMiddle*rF1.EccentricityTotalMiddle)</f>
        <v>4.2744839433667492</v>
      </c>
      <c r="AI96" s="259"/>
    </row>
    <row r="97" spans="11:35" x14ac:dyDescent="0.2">
      <c r="K97" s="170"/>
      <c r="L97" s="146"/>
      <c r="M97" s="295"/>
      <c r="N97" s="295"/>
      <c r="O97" s="295"/>
      <c r="P97" s="265"/>
      <c r="Q97" s="265"/>
      <c r="R97" s="117"/>
      <c r="S97" s="155"/>
      <c r="T97" s="211" t="s">
        <v>106</v>
      </c>
      <c r="U97" s="299">
        <f>rF1.WallAxForceTop</f>
        <v>53.846153846153847</v>
      </c>
      <c r="X97" s="211" t="s">
        <v>106</v>
      </c>
      <c r="Y97" s="299">
        <f ca="1">rF1.WallAxForceBottom</f>
        <v>70.067454821153845</v>
      </c>
      <c r="AB97" s="211" t="s">
        <v>106</v>
      </c>
      <c r="AC97" s="299">
        <f ca="1">rF1.WallAxForceMiddle</f>
        <v>61.956804333653849</v>
      </c>
      <c r="AI97" s="259"/>
    </row>
    <row r="98" spans="11:35" x14ac:dyDescent="0.2">
      <c r="K98" s="170"/>
      <c r="L98" s="146"/>
      <c r="M98" s="295"/>
      <c r="N98" s="295"/>
      <c r="O98" s="295"/>
      <c r="P98" s="265"/>
      <c r="Q98" s="265"/>
      <c r="R98" s="117"/>
      <c r="S98" s="155"/>
      <c r="AI98" s="259"/>
    </row>
    <row r="99" spans="11:35" x14ac:dyDescent="0.2">
      <c r="K99" s="170"/>
      <c r="L99" s="146"/>
      <c r="M99" s="295"/>
      <c r="N99" s="295"/>
      <c r="O99" s="295"/>
      <c r="P99" s="265"/>
      <c r="Q99" s="265"/>
      <c r="R99" s="117"/>
      <c r="S99" s="155"/>
      <c r="T99" s="134"/>
      <c r="U99" s="156" t="s">
        <v>97</v>
      </c>
      <c r="V99" s="237" t="s">
        <v>98</v>
      </c>
      <c r="W99" s="157" t="s">
        <v>99</v>
      </c>
      <c r="X99" s="134"/>
      <c r="Y99" s="156" t="s">
        <v>97</v>
      </c>
      <c r="Z99" s="237" t="s">
        <v>98</v>
      </c>
      <c r="AA99" s="157" t="s">
        <v>99</v>
      </c>
      <c r="AB99" s="134"/>
      <c r="AC99" s="156" t="s">
        <v>102</v>
      </c>
      <c r="AD99" s="237" t="s">
        <v>103</v>
      </c>
      <c r="AE99" s="237" t="s">
        <v>104</v>
      </c>
      <c r="AF99" s="300" t="s">
        <v>197</v>
      </c>
      <c r="AG99" s="237" t="s">
        <v>97</v>
      </c>
      <c r="AH99" s="157" t="s">
        <v>99</v>
      </c>
      <c r="AI99" s="259"/>
    </row>
    <row r="100" spans="11:35" x14ac:dyDescent="0.2">
      <c r="K100" s="170"/>
      <c r="L100" s="146"/>
      <c r="M100" s="295"/>
      <c r="N100" s="295"/>
      <c r="O100" s="295"/>
      <c r="P100" s="265"/>
      <c r="Q100" s="265"/>
      <c r="R100" s="117"/>
      <c r="S100" s="155"/>
      <c r="T100" s="210">
        <v>0</v>
      </c>
      <c r="U100" s="198">
        <f t="shared" ref="U100:U131" ca="1" si="2">IF(rF1.CheckWoodenSlabCalc,0,rF1.PlotAxForceFactor*rF1.PlotAxResistanceMaxTop)</f>
        <v>0</v>
      </c>
      <c r="V100" s="163">
        <v>0</v>
      </c>
      <c r="W100" s="186">
        <f ca="1">rF1.PlotAxForceTop*rF1.PlotExcentricityTop</f>
        <v>0</v>
      </c>
      <c r="Y100" s="198">
        <f t="shared" ref="Y100:Y131" ca="1" si="3">IF(rF1.CheckWoodenSlabCalc,0,rF1.PlotAxForceFactor*rF1.PlotAxResistanceMaxBottom)</f>
        <v>0</v>
      </c>
      <c r="Z100" s="163">
        <v>0</v>
      </c>
      <c r="AA100" s="186">
        <f ca="1">rF1.PlotAxForceBottom*rF1.PlotExcentricityBottom</f>
        <v>0</v>
      </c>
      <c r="AC100" s="198">
        <f t="shared" ref="AC100:AC132" ca="1" si="4">rF1.PlotAxForceFactor*rF1.PlotExcentricityLoadMax</f>
        <v>0</v>
      </c>
      <c r="AD100" s="163">
        <f t="shared" ref="AD100:AD132" ca="1" si="5">IF(rF1.WallSlenderness02&lt;=rP1.MaxSlendernessCreepEcc,0,0.002*rP1.CreepCoefficient*rF1.WallHeightBuckling/rF1.WallHeight02*SQRT(rF1.WallHeight02*rF1.PlotExcentricityLoadMiddle))</f>
        <v>0</v>
      </c>
      <c r="AE100" s="163">
        <f t="shared" ref="AE100:AE132" ca="1" si="6">MAX(rF1.PlotExcentricityCreepMiddle+rF1.PlotExcentricityLoadMiddle,0.05*rF1.WallThickness02)</f>
        <v>1.8249999999999999E-2</v>
      </c>
      <c r="AF100" s="163">
        <f t="shared" ref="AF100:AF131" ca="1" si="7">MIN(1.14*(1-2*rF1.PlotExcentricityTotalMiddle/rF1.WallThickness02)-0.024*rF1.WallHeightEffective/rF1.WallThickness02,1-2*rF1.PlotExcentricityTotalMiddle/rF1.WallThickness02)</f>
        <v>0.80243835616438353</v>
      </c>
      <c r="AG100" s="163">
        <f t="shared" ref="AG100:AG131" ca="1" si="8">IF(rF1.CheckWoodenSlabCalc,0,rF1.PlotReductionParameterMiddle*rF1.WallThickness02*rF1.ReductionMasonryStrenghtArea02*rF1.ReductionMasonryStrengthLongTerm*rF1.MasonryStrenghtChar02/rF1.SafetyFactorMaterial02*1000)</f>
        <v>962.63179999999988</v>
      </c>
      <c r="AH100" s="186">
        <v>0</v>
      </c>
      <c r="AI100" s="259"/>
    </row>
    <row r="101" spans="11:35" x14ac:dyDescent="0.2">
      <c r="K101" s="170"/>
      <c r="L101" s="146"/>
      <c r="M101" s="295"/>
      <c r="N101" s="295"/>
      <c r="O101" s="295"/>
      <c r="P101" s="265"/>
      <c r="Q101" s="265"/>
      <c r="R101" s="117"/>
      <c r="S101" s="155"/>
      <c r="T101" s="238">
        <v>0</v>
      </c>
      <c r="U101" s="209">
        <f t="shared" ca="1" si="2"/>
        <v>0</v>
      </c>
      <c r="V101" s="118">
        <f t="shared" ref="V101:V132" ca="1" si="9">rF1.PlotWallThicknessNettoTop/2-rF1.PlotAxForceTop*rF1.SafetyFactorMaterial02/(1000*2*rF1.MasonryStrenghtChar02*rF1.ReductionMasonryStrenghtArea02*rF1.ReductionMasonryStrengthLongTerm)</f>
        <v>0.16500000000000001</v>
      </c>
      <c r="W101" s="204">
        <f ca="1">rF1.PlotAxForceTop*rF1.PlotExcentricityTop</f>
        <v>0</v>
      </c>
      <c r="Y101" s="209">
        <f t="shared" ca="1" si="3"/>
        <v>0</v>
      </c>
      <c r="Z101" s="118">
        <f t="shared" ref="Z101:Z132" ca="1" si="10">rF1.PlotWallThicknessNettoBottom/2-rF1.PlotAxForceBottom*rF1.SafetyFactorMaterial02/(1000*2*rF1.MasonryStrenghtChar02*rF1.ReductionMasonryStrenghtArea02*rF1.ReductionMasonryStrengthLongTerm)</f>
        <v>0.16500000000000001</v>
      </c>
      <c r="AA101" s="204">
        <f ca="1">rF1.PlotAxForceBottom*rF1.PlotExcentricityBottom</f>
        <v>0</v>
      </c>
      <c r="AC101" s="209">
        <f t="shared" ca="1" si="4"/>
        <v>0</v>
      </c>
      <c r="AD101" s="118">
        <f t="shared" ca="1" si="5"/>
        <v>0</v>
      </c>
      <c r="AE101" s="118">
        <f t="shared" ca="1" si="6"/>
        <v>1.8249999999999999E-2</v>
      </c>
      <c r="AF101" s="118">
        <f t="shared" ca="1" si="7"/>
        <v>0.80243835616438353</v>
      </c>
      <c r="AG101" s="118">
        <f t="shared" ca="1" si="8"/>
        <v>962.63179999999988</v>
      </c>
      <c r="AH101" s="204">
        <f t="shared" ref="AH101:AH132" ca="1" si="11">rF1.PlotExcentricityTotalMiddle*rF1.PlotAxForceMiddle</f>
        <v>17.568030349999997</v>
      </c>
      <c r="AI101" s="259"/>
    </row>
    <row r="102" spans="11:35" x14ac:dyDescent="0.2">
      <c r="K102" s="170"/>
      <c r="L102" s="146"/>
      <c r="M102" s="295"/>
      <c r="N102" s="295"/>
      <c r="O102" s="295"/>
      <c r="P102" s="265"/>
      <c r="Q102" s="265"/>
      <c r="R102" s="117"/>
      <c r="S102" s="155"/>
      <c r="T102" s="238">
        <v>0.01</v>
      </c>
      <c r="U102" s="209">
        <f t="shared" ca="1" si="2"/>
        <v>9.7614000000000001</v>
      </c>
      <c r="V102" s="118">
        <f t="shared" ca="1" si="9"/>
        <v>0.16351500000000002</v>
      </c>
      <c r="W102" s="204">
        <f t="shared" ref="W102:W132" ca="1" si="12">rF1.PlotAxForceTop*rF1.PlotExcentricityTop</f>
        <v>1.5961353210000002</v>
      </c>
      <c r="Y102" s="209">
        <f t="shared" ca="1" si="3"/>
        <v>9.7614000000000001</v>
      </c>
      <c r="Z102" s="118">
        <f t="shared" ca="1" si="10"/>
        <v>0.16351500000000002</v>
      </c>
      <c r="AA102" s="204">
        <f t="shared" ref="AA102:AA132" ca="1" si="13">rF1.PlotAxForceBottom*rF1.PlotExcentricityBottom</f>
        <v>1.5961353210000002</v>
      </c>
      <c r="AC102" s="209">
        <f t="shared" ca="1" si="4"/>
        <v>1.825E-3</v>
      </c>
      <c r="AD102" s="118">
        <f t="shared" ca="1" si="5"/>
        <v>0</v>
      </c>
      <c r="AE102" s="118">
        <f t="shared" ca="1" si="6"/>
        <v>1.8249999999999999E-2</v>
      </c>
      <c r="AF102" s="118">
        <f t="shared" ca="1" si="7"/>
        <v>0.80243835616438353</v>
      </c>
      <c r="AG102" s="118">
        <f t="shared" ca="1" si="8"/>
        <v>962.63179999999988</v>
      </c>
      <c r="AH102" s="204">
        <f t="shared" ca="1" si="11"/>
        <v>17.568030349999997</v>
      </c>
      <c r="AI102" s="259"/>
    </row>
    <row r="103" spans="11:35" x14ac:dyDescent="0.2">
      <c r="K103" s="170"/>
      <c r="L103" s="146"/>
      <c r="M103" s="295"/>
      <c r="N103" s="295"/>
      <c r="O103" s="295"/>
      <c r="P103" s="265"/>
      <c r="Q103" s="265"/>
      <c r="R103" s="117"/>
      <c r="S103" s="155"/>
      <c r="T103" s="238">
        <v>0.02</v>
      </c>
      <c r="U103" s="209">
        <f t="shared" ca="1" si="2"/>
        <v>19.5228</v>
      </c>
      <c r="V103" s="118">
        <f t="shared" ca="1" si="9"/>
        <v>0.16203000000000001</v>
      </c>
      <c r="W103" s="204">
        <f t="shared" ca="1" si="12"/>
        <v>3.1632792840000001</v>
      </c>
      <c r="Y103" s="209">
        <f t="shared" ca="1" si="3"/>
        <v>19.5228</v>
      </c>
      <c r="Z103" s="118">
        <f t="shared" ca="1" si="10"/>
        <v>0.16203000000000001</v>
      </c>
      <c r="AA103" s="204">
        <f t="shared" ca="1" si="13"/>
        <v>3.1632792840000001</v>
      </c>
      <c r="AC103" s="209">
        <f t="shared" ca="1" si="4"/>
        <v>3.65E-3</v>
      </c>
      <c r="AD103" s="118">
        <f t="shared" ca="1" si="5"/>
        <v>0</v>
      </c>
      <c r="AE103" s="118">
        <f t="shared" ca="1" si="6"/>
        <v>1.8249999999999999E-2</v>
      </c>
      <c r="AF103" s="118">
        <f t="shared" ca="1" si="7"/>
        <v>0.80243835616438353</v>
      </c>
      <c r="AG103" s="118">
        <f t="shared" ca="1" si="8"/>
        <v>962.63179999999988</v>
      </c>
      <c r="AH103" s="204">
        <f t="shared" ca="1" si="11"/>
        <v>17.568030349999997</v>
      </c>
      <c r="AI103" s="259"/>
    </row>
    <row r="104" spans="11:35" x14ac:dyDescent="0.2">
      <c r="K104" s="170"/>
      <c r="L104" s="146"/>
      <c r="M104" s="295"/>
      <c r="N104" s="295"/>
      <c r="O104" s="295"/>
      <c r="P104" s="265"/>
      <c r="Q104" s="265"/>
      <c r="R104" s="117"/>
      <c r="S104" s="155"/>
      <c r="T104" s="238">
        <v>0.03</v>
      </c>
      <c r="U104" s="209">
        <f t="shared" ca="1" si="2"/>
        <v>29.284199999999998</v>
      </c>
      <c r="V104" s="118">
        <f t="shared" ca="1" si="9"/>
        <v>0.16054500000000002</v>
      </c>
      <c r="W104" s="204">
        <f t="shared" ca="1" si="12"/>
        <v>4.7014318890000002</v>
      </c>
      <c r="Y104" s="209">
        <f t="shared" ca="1" si="3"/>
        <v>29.284199999999998</v>
      </c>
      <c r="Z104" s="118">
        <f t="shared" ca="1" si="10"/>
        <v>0.16054500000000002</v>
      </c>
      <c r="AA104" s="204">
        <f t="shared" ca="1" si="13"/>
        <v>4.7014318890000002</v>
      </c>
      <c r="AC104" s="209">
        <f t="shared" ca="1" si="4"/>
        <v>5.4749999999999998E-3</v>
      </c>
      <c r="AD104" s="118">
        <f t="shared" ca="1" si="5"/>
        <v>0</v>
      </c>
      <c r="AE104" s="118">
        <f t="shared" ca="1" si="6"/>
        <v>1.8249999999999999E-2</v>
      </c>
      <c r="AF104" s="118">
        <f t="shared" ca="1" si="7"/>
        <v>0.80243835616438353</v>
      </c>
      <c r="AG104" s="118">
        <f t="shared" ca="1" si="8"/>
        <v>962.63179999999988</v>
      </c>
      <c r="AH104" s="204">
        <f t="shared" ca="1" si="11"/>
        <v>17.568030349999997</v>
      </c>
      <c r="AI104" s="259"/>
    </row>
    <row r="105" spans="11:35" x14ac:dyDescent="0.2">
      <c r="K105" s="170"/>
      <c r="L105" s="146"/>
      <c r="M105" s="295"/>
      <c r="N105" s="295"/>
      <c r="O105" s="295"/>
      <c r="P105" s="265"/>
      <c r="Q105" s="265"/>
      <c r="R105" s="117"/>
      <c r="S105" s="155"/>
      <c r="T105" s="238">
        <v>0.04</v>
      </c>
      <c r="U105" s="209">
        <f t="shared" ca="1" si="2"/>
        <v>39.0456</v>
      </c>
      <c r="V105" s="118">
        <f t="shared" ca="1" si="9"/>
        <v>0.15906000000000001</v>
      </c>
      <c r="W105" s="204">
        <f t="shared" ca="1" si="12"/>
        <v>6.210593136</v>
      </c>
      <c r="Y105" s="209">
        <f t="shared" ca="1" si="3"/>
        <v>39.0456</v>
      </c>
      <c r="Z105" s="118">
        <f t="shared" ca="1" si="10"/>
        <v>0.15906000000000001</v>
      </c>
      <c r="AA105" s="204">
        <f t="shared" ca="1" si="13"/>
        <v>6.210593136</v>
      </c>
      <c r="AC105" s="209">
        <f t="shared" ca="1" si="4"/>
        <v>7.3000000000000001E-3</v>
      </c>
      <c r="AD105" s="118">
        <f t="shared" ca="1" si="5"/>
        <v>0</v>
      </c>
      <c r="AE105" s="118">
        <f t="shared" ca="1" si="6"/>
        <v>1.8249999999999999E-2</v>
      </c>
      <c r="AF105" s="118">
        <f t="shared" ca="1" si="7"/>
        <v>0.80243835616438353</v>
      </c>
      <c r="AG105" s="118">
        <f t="shared" ca="1" si="8"/>
        <v>962.63179999999988</v>
      </c>
      <c r="AH105" s="204">
        <f t="shared" ca="1" si="11"/>
        <v>17.568030349999997</v>
      </c>
      <c r="AI105" s="259"/>
    </row>
    <row r="106" spans="11:35" x14ac:dyDescent="0.2">
      <c r="K106" s="290" t="s">
        <v>266</v>
      </c>
      <c r="L106" s="291"/>
      <c r="M106" s="301"/>
      <c r="N106" s="302" t="s">
        <v>267</v>
      </c>
      <c r="O106" s="301"/>
      <c r="P106" s="294"/>
      <c r="Q106" s="294"/>
      <c r="R106" s="117"/>
      <c r="S106" s="155"/>
      <c r="T106" s="238">
        <v>0.05</v>
      </c>
      <c r="U106" s="209">
        <f t="shared" ca="1" si="2"/>
        <v>48.807000000000002</v>
      </c>
      <c r="V106" s="118">
        <f t="shared" ca="1" si="9"/>
        <v>0.15757500000000002</v>
      </c>
      <c r="W106" s="204">
        <f t="shared" ca="1" si="12"/>
        <v>7.6907630250000016</v>
      </c>
      <c r="Y106" s="209">
        <f t="shared" ca="1" si="3"/>
        <v>48.807000000000002</v>
      </c>
      <c r="Z106" s="118">
        <f t="shared" ca="1" si="10"/>
        <v>0.15757500000000002</v>
      </c>
      <c r="AA106" s="204">
        <f t="shared" ca="1" si="13"/>
        <v>7.6907630250000016</v>
      </c>
      <c r="AC106" s="209">
        <f t="shared" ca="1" si="4"/>
        <v>9.1249999999999994E-3</v>
      </c>
      <c r="AD106" s="118">
        <f t="shared" ca="1" si="5"/>
        <v>0</v>
      </c>
      <c r="AE106" s="118">
        <f t="shared" ca="1" si="6"/>
        <v>1.8249999999999999E-2</v>
      </c>
      <c r="AF106" s="118">
        <f t="shared" ca="1" si="7"/>
        <v>0.80243835616438353</v>
      </c>
      <c r="AG106" s="118">
        <f t="shared" ca="1" si="8"/>
        <v>962.63179999999988</v>
      </c>
      <c r="AH106" s="204">
        <f t="shared" ca="1" si="11"/>
        <v>17.568030349999997</v>
      </c>
      <c r="AI106" s="259"/>
    </row>
    <row r="107" spans="11:35" x14ac:dyDescent="0.2">
      <c r="K107" s="146"/>
      <c r="L107" s="146"/>
      <c r="M107" s="303"/>
      <c r="N107" s="303"/>
      <c r="O107" s="303"/>
      <c r="P107" s="265"/>
      <c r="Q107" s="265"/>
      <c r="R107" s="117"/>
      <c r="S107" s="155"/>
      <c r="T107" s="238">
        <v>0.06</v>
      </c>
      <c r="U107" s="209">
        <f t="shared" ca="1" si="2"/>
        <v>58.568399999999997</v>
      </c>
      <c r="V107" s="118">
        <f t="shared" ca="1" si="9"/>
        <v>0.15609000000000001</v>
      </c>
      <c r="W107" s="204">
        <f t="shared" ca="1" si="12"/>
        <v>9.141941555999999</v>
      </c>
      <c r="Y107" s="209">
        <f t="shared" ca="1" si="3"/>
        <v>58.568399999999997</v>
      </c>
      <c r="Z107" s="118">
        <f t="shared" ca="1" si="10"/>
        <v>0.15609000000000001</v>
      </c>
      <c r="AA107" s="204">
        <f t="shared" ca="1" si="13"/>
        <v>9.141941555999999</v>
      </c>
      <c r="AC107" s="209">
        <f t="shared" ca="1" si="4"/>
        <v>1.095E-2</v>
      </c>
      <c r="AD107" s="118">
        <f t="shared" ca="1" si="5"/>
        <v>0</v>
      </c>
      <c r="AE107" s="118">
        <f t="shared" ca="1" si="6"/>
        <v>1.8249999999999999E-2</v>
      </c>
      <c r="AF107" s="118">
        <f t="shared" ca="1" si="7"/>
        <v>0.80243835616438353</v>
      </c>
      <c r="AG107" s="118">
        <f t="shared" ca="1" si="8"/>
        <v>962.63179999999988</v>
      </c>
      <c r="AH107" s="204">
        <f t="shared" ca="1" si="11"/>
        <v>17.568030349999997</v>
      </c>
      <c r="AI107" s="259"/>
    </row>
    <row r="108" spans="11:35" x14ac:dyDescent="0.2">
      <c r="K108" s="170"/>
      <c r="L108" s="146"/>
      <c r="M108" s="265"/>
      <c r="N108" s="265"/>
      <c r="O108" s="265"/>
      <c r="P108" s="265"/>
      <c r="Q108" s="265"/>
      <c r="R108" s="409"/>
      <c r="S108" s="155"/>
      <c r="T108" s="238">
        <v>7.0000000000000007E-2</v>
      </c>
      <c r="U108" s="209">
        <f t="shared" ca="1" si="2"/>
        <v>68.329800000000006</v>
      </c>
      <c r="V108" s="118">
        <f t="shared" ca="1" si="9"/>
        <v>0.15460499999999999</v>
      </c>
      <c r="W108" s="204">
        <f t="shared" ca="1" si="12"/>
        <v>10.564128729</v>
      </c>
      <c r="Y108" s="209">
        <f t="shared" ca="1" si="3"/>
        <v>68.329800000000006</v>
      </c>
      <c r="Z108" s="118">
        <f t="shared" ca="1" si="10"/>
        <v>0.15460499999999999</v>
      </c>
      <c r="AA108" s="204">
        <f t="shared" ca="1" si="13"/>
        <v>10.564128729</v>
      </c>
      <c r="AC108" s="209">
        <f t="shared" ca="1" si="4"/>
        <v>1.2775000000000002E-2</v>
      </c>
      <c r="AD108" s="118">
        <f t="shared" ca="1" si="5"/>
        <v>0</v>
      </c>
      <c r="AE108" s="118">
        <f t="shared" ca="1" si="6"/>
        <v>1.8249999999999999E-2</v>
      </c>
      <c r="AF108" s="118">
        <f t="shared" ca="1" si="7"/>
        <v>0.80243835616438353</v>
      </c>
      <c r="AG108" s="118">
        <f t="shared" ca="1" si="8"/>
        <v>962.63179999999988</v>
      </c>
      <c r="AH108" s="204">
        <f t="shared" ca="1" si="11"/>
        <v>17.568030349999997</v>
      </c>
      <c r="AI108" s="259"/>
    </row>
    <row r="109" spans="11:35" x14ac:dyDescent="0.2">
      <c r="K109" s="218"/>
      <c r="L109" s="146"/>
      <c r="M109" s="264"/>
      <c r="N109" s="264"/>
      <c r="O109" s="264"/>
      <c r="P109" s="264"/>
      <c r="Q109" s="265"/>
      <c r="R109" s="117"/>
      <c r="S109" s="155"/>
      <c r="T109" s="238">
        <v>0.08</v>
      </c>
      <c r="U109" s="209">
        <f t="shared" ca="1" si="2"/>
        <v>78.091200000000001</v>
      </c>
      <c r="V109" s="118">
        <f t="shared" ca="1" si="9"/>
        <v>0.15312000000000001</v>
      </c>
      <c r="W109" s="204">
        <f t="shared" ca="1" si="12"/>
        <v>11.957324544</v>
      </c>
      <c r="Y109" s="209">
        <f t="shared" ca="1" si="3"/>
        <v>78.091200000000001</v>
      </c>
      <c r="Z109" s="118">
        <f t="shared" ca="1" si="10"/>
        <v>0.15312000000000001</v>
      </c>
      <c r="AA109" s="204">
        <f t="shared" ca="1" si="13"/>
        <v>11.957324544</v>
      </c>
      <c r="AC109" s="209">
        <f t="shared" ca="1" si="4"/>
        <v>1.46E-2</v>
      </c>
      <c r="AD109" s="118">
        <f t="shared" ca="1" si="5"/>
        <v>0</v>
      </c>
      <c r="AE109" s="118">
        <f t="shared" ca="1" si="6"/>
        <v>1.8249999999999999E-2</v>
      </c>
      <c r="AF109" s="118">
        <f t="shared" ca="1" si="7"/>
        <v>0.80243835616438353</v>
      </c>
      <c r="AG109" s="118">
        <f t="shared" ca="1" si="8"/>
        <v>962.63179999999988</v>
      </c>
      <c r="AH109" s="204">
        <f t="shared" ca="1" si="11"/>
        <v>17.568030349999997</v>
      </c>
      <c r="AI109" s="259"/>
    </row>
    <row r="110" spans="11:35" x14ac:dyDescent="0.2">
      <c r="K110" s="218"/>
      <c r="L110" s="146"/>
      <c r="M110" s="264"/>
      <c r="N110" s="264"/>
      <c r="O110" s="264"/>
      <c r="P110" s="264"/>
      <c r="Q110" s="265"/>
      <c r="R110" s="117"/>
      <c r="S110" s="155"/>
      <c r="T110" s="238">
        <v>0.09</v>
      </c>
      <c r="U110" s="209">
        <f t="shared" ca="1" si="2"/>
        <v>87.852599999999995</v>
      </c>
      <c r="V110" s="118">
        <f t="shared" ca="1" si="9"/>
        <v>0.15163500000000002</v>
      </c>
      <c r="W110" s="204">
        <f t="shared" ca="1" si="12"/>
        <v>13.321529001000002</v>
      </c>
      <c r="Y110" s="209">
        <f t="shared" ca="1" si="3"/>
        <v>87.852599999999995</v>
      </c>
      <c r="Z110" s="118">
        <f t="shared" ca="1" si="10"/>
        <v>0.15163500000000002</v>
      </c>
      <c r="AA110" s="204">
        <f t="shared" ca="1" si="13"/>
        <v>13.321529001000002</v>
      </c>
      <c r="AC110" s="209">
        <f t="shared" ca="1" si="4"/>
        <v>1.6424999999999999E-2</v>
      </c>
      <c r="AD110" s="118">
        <f t="shared" ca="1" si="5"/>
        <v>0</v>
      </c>
      <c r="AE110" s="118">
        <f t="shared" ca="1" si="6"/>
        <v>1.8249999999999999E-2</v>
      </c>
      <c r="AF110" s="118">
        <f t="shared" ca="1" si="7"/>
        <v>0.80243835616438353</v>
      </c>
      <c r="AG110" s="118">
        <f t="shared" ca="1" si="8"/>
        <v>962.63179999999988</v>
      </c>
      <c r="AH110" s="204">
        <f t="shared" ca="1" si="11"/>
        <v>17.568030349999997</v>
      </c>
      <c r="AI110" s="259"/>
    </row>
    <row r="111" spans="11:35" x14ac:dyDescent="0.2">
      <c r="K111" s="170"/>
      <c r="L111" s="146"/>
      <c r="M111" s="265"/>
      <c r="N111" s="265"/>
      <c r="O111" s="265"/>
      <c r="P111" s="265"/>
      <c r="Q111" s="265"/>
      <c r="R111" s="117"/>
      <c r="S111" s="155"/>
      <c r="T111" s="238">
        <v>0.1</v>
      </c>
      <c r="U111" s="209">
        <f t="shared" ca="1" si="2"/>
        <v>97.614000000000004</v>
      </c>
      <c r="V111" s="118">
        <f t="shared" ca="1" si="9"/>
        <v>0.15015000000000001</v>
      </c>
      <c r="W111" s="204">
        <f t="shared" ca="1" si="12"/>
        <v>14.656742100000001</v>
      </c>
      <c r="Y111" s="209">
        <f t="shared" ca="1" si="3"/>
        <v>97.614000000000004</v>
      </c>
      <c r="Z111" s="118">
        <f t="shared" ca="1" si="10"/>
        <v>0.15015000000000001</v>
      </c>
      <c r="AA111" s="204">
        <f t="shared" ca="1" si="13"/>
        <v>14.656742100000001</v>
      </c>
      <c r="AC111" s="209">
        <f t="shared" ca="1" si="4"/>
        <v>1.8249999999999999E-2</v>
      </c>
      <c r="AD111" s="118">
        <f t="shared" ca="1" si="5"/>
        <v>0</v>
      </c>
      <c r="AE111" s="118">
        <f t="shared" ca="1" si="6"/>
        <v>1.8249999999999999E-2</v>
      </c>
      <c r="AF111" s="118">
        <f t="shared" ca="1" si="7"/>
        <v>0.80243835616438353</v>
      </c>
      <c r="AG111" s="118">
        <f t="shared" ca="1" si="8"/>
        <v>962.63179999999988</v>
      </c>
      <c r="AH111" s="204">
        <f t="shared" ca="1" si="11"/>
        <v>17.568030349999997</v>
      </c>
      <c r="AI111" s="259"/>
    </row>
    <row r="112" spans="11:35" x14ac:dyDescent="0.2">
      <c r="K112" s="170"/>
      <c r="L112" s="146"/>
      <c r="M112" s="265"/>
      <c r="N112" s="265"/>
      <c r="O112" s="265"/>
      <c r="P112" s="265"/>
      <c r="Q112" s="265"/>
      <c r="R112" s="117"/>
      <c r="S112" s="155"/>
      <c r="T112" s="238">
        <v>0.11</v>
      </c>
      <c r="U112" s="209">
        <f t="shared" ca="1" si="2"/>
        <v>107.3754</v>
      </c>
      <c r="V112" s="118">
        <f t="shared" ca="1" si="9"/>
        <v>0.14866500000000002</v>
      </c>
      <c r="W112" s="204">
        <f t="shared" ca="1" si="12"/>
        <v>15.962963841000002</v>
      </c>
      <c r="Y112" s="209">
        <f t="shared" ca="1" si="3"/>
        <v>107.3754</v>
      </c>
      <c r="Z112" s="118">
        <f t="shared" ca="1" si="10"/>
        <v>0.14866500000000002</v>
      </c>
      <c r="AA112" s="204">
        <f t="shared" ca="1" si="13"/>
        <v>15.962963841000002</v>
      </c>
      <c r="AC112" s="209">
        <f t="shared" ca="1" si="4"/>
        <v>2.0074999999999999E-2</v>
      </c>
      <c r="AD112" s="118">
        <f t="shared" ca="1" si="5"/>
        <v>0</v>
      </c>
      <c r="AE112" s="118">
        <f t="shared" ca="1" si="6"/>
        <v>2.0074999999999999E-2</v>
      </c>
      <c r="AF112" s="118">
        <f t="shared" ca="1" si="7"/>
        <v>0.79103835616438345</v>
      </c>
      <c r="AG112" s="118">
        <f t="shared" ca="1" si="8"/>
        <v>948.95597999999995</v>
      </c>
      <c r="AH112" s="204">
        <f t="shared" ca="1" si="11"/>
        <v>19.050291298499999</v>
      </c>
      <c r="AI112" s="259"/>
    </row>
    <row r="113" spans="11:35" x14ac:dyDescent="0.2">
      <c r="K113" s="170"/>
      <c r="L113" s="146"/>
      <c r="M113" s="265"/>
      <c r="N113" s="265"/>
      <c r="O113" s="265"/>
      <c r="P113" s="265"/>
      <c r="Q113" s="265"/>
      <c r="R113" s="117"/>
      <c r="S113" s="155"/>
      <c r="T113" s="238">
        <v>0.12</v>
      </c>
      <c r="U113" s="209">
        <f t="shared" ca="1" si="2"/>
        <v>117.13679999999999</v>
      </c>
      <c r="V113" s="118">
        <f t="shared" ca="1" si="9"/>
        <v>0.14718000000000001</v>
      </c>
      <c r="W113" s="204">
        <f t="shared" ca="1" si="12"/>
        <v>17.240194224</v>
      </c>
      <c r="Y113" s="209">
        <f t="shared" ca="1" si="3"/>
        <v>117.13679999999999</v>
      </c>
      <c r="Z113" s="118">
        <f t="shared" ca="1" si="10"/>
        <v>0.14718000000000001</v>
      </c>
      <c r="AA113" s="204">
        <f t="shared" ca="1" si="13"/>
        <v>17.240194224</v>
      </c>
      <c r="AC113" s="209">
        <f t="shared" ca="1" si="4"/>
        <v>2.1899999999999999E-2</v>
      </c>
      <c r="AD113" s="118">
        <f t="shared" ca="1" si="5"/>
        <v>0</v>
      </c>
      <c r="AE113" s="118">
        <f t="shared" ca="1" si="6"/>
        <v>2.1899999999999999E-2</v>
      </c>
      <c r="AF113" s="118">
        <f t="shared" ca="1" si="7"/>
        <v>0.77963835616438337</v>
      </c>
      <c r="AG113" s="118">
        <f t="shared" ca="1" si="8"/>
        <v>935.28015999999968</v>
      </c>
      <c r="AH113" s="204">
        <f t="shared" ca="1" si="11"/>
        <v>20.482635503999994</v>
      </c>
      <c r="AI113" s="259"/>
    </row>
    <row r="114" spans="11:35" x14ac:dyDescent="0.2">
      <c r="K114" s="170"/>
      <c r="L114" s="146"/>
      <c r="M114" s="265"/>
      <c r="N114" s="265"/>
      <c r="O114" s="265"/>
      <c r="P114" s="265"/>
      <c r="Q114" s="265"/>
      <c r="R114" s="117"/>
      <c r="S114" s="155"/>
      <c r="T114" s="238">
        <v>0.13</v>
      </c>
      <c r="U114" s="209">
        <f t="shared" ca="1" si="2"/>
        <v>126.8982</v>
      </c>
      <c r="V114" s="118">
        <f t="shared" ca="1" si="9"/>
        <v>0.14569500000000002</v>
      </c>
      <c r="W114" s="204">
        <f t="shared" ca="1" si="12"/>
        <v>18.488433249000003</v>
      </c>
      <c r="Y114" s="209">
        <f t="shared" ca="1" si="3"/>
        <v>126.8982</v>
      </c>
      <c r="Z114" s="118">
        <f t="shared" ca="1" si="10"/>
        <v>0.14569500000000002</v>
      </c>
      <c r="AA114" s="204">
        <f t="shared" ca="1" si="13"/>
        <v>18.488433249000003</v>
      </c>
      <c r="AC114" s="209">
        <f t="shared" ca="1" si="4"/>
        <v>2.3725E-2</v>
      </c>
      <c r="AD114" s="118">
        <f t="shared" ca="1" si="5"/>
        <v>0</v>
      </c>
      <c r="AE114" s="118">
        <f t="shared" ca="1" si="6"/>
        <v>2.3725E-2</v>
      </c>
      <c r="AF114" s="118">
        <f t="shared" ca="1" si="7"/>
        <v>0.76823835616438341</v>
      </c>
      <c r="AG114" s="118">
        <f t="shared" ca="1" si="8"/>
        <v>921.60433999999987</v>
      </c>
      <c r="AH114" s="204">
        <f t="shared" ca="1" si="11"/>
        <v>21.865062966499995</v>
      </c>
      <c r="AI114" s="259"/>
    </row>
    <row r="115" spans="11:35" x14ac:dyDescent="0.2">
      <c r="K115" s="170"/>
      <c r="L115" s="146"/>
      <c r="M115" s="265"/>
      <c r="N115" s="265"/>
      <c r="O115" s="265"/>
      <c r="P115" s="265"/>
      <c r="Q115" s="265"/>
      <c r="R115" s="117"/>
      <c r="S115" s="155"/>
      <c r="T115" s="238">
        <v>0.14000000000000001</v>
      </c>
      <c r="U115" s="209">
        <f t="shared" ca="1" si="2"/>
        <v>136.65960000000001</v>
      </c>
      <c r="V115" s="118">
        <f t="shared" ca="1" si="9"/>
        <v>0.14421</v>
      </c>
      <c r="W115" s="204">
        <f t="shared" ca="1" si="12"/>
        <v>19.707680916000001</v>
      </c>
      <c r="Y115" s="209">
        <f t="shared" ca="1" si="3"/>
        <v>136.65960000000001</v>
      </c>
      <c r="Z115" s="118">
        <f t="shared" ca="1" si="10"/>
        <v>0.14421</v>
      </c>
      <c r="AA115" s="204">
        <f t="shared" ca="1" si="13"/>
        <v>19.707680916000001</v>
      </c>
      <c r="AC115" s="209">
        <f t="shared" ca="1" si="4"/>
        <v>2.5550000000000003E-2</v>
      </c>
      <c r="AD115" s="118">
        <f t="shared" ca="1" si="5"/>
        <v>0</v>
      </c>
      <c r="AE115" s="118">
        <f t="shared" ca="1" si="6"/>
        <v>2.5550000000000003E-2</v>
      </c>
      <c r="AF115" s="118">
        <f t="shared" ca="1" si="7"/>
        <v>0.75683835616438344</v>
      </c>
      <c r="AG115" s="118">
        <f t="shared" ca="1" si="8"/>
        <v>907.92851999999971</v>
      </c>
      <c r="AH115" s="204">
        <f t="shared" ca="1" si="11"/>
        <v>23.197573685999995</v>
      </c>
      <c r="AI115" s="259"/>
    </row>
    <row r="116" spans="11:35" x14ac:dyDescent="0.2">
      <c r="K116" s="170"/>
      <c r="L116" s="146"/>
      <c r="M116" s="265"/>
      <c r="N116" s="265"/>
      <c r="O116" s="265"/>
      <c r="P116" s="265"/>
      <c r="Q116" s="265"/>
      <c r="R116" s="117"/>
      <c r="S116" s="155"/>
      <c r="T116" s="238">
        <v>0.15</v>
      </c>
      <c r="U116" s="209">
        <f t="shared" ca="1" si="2"/>
        <v>146.42099999999999</v>
      </c>
      <c r="V116" s="118">
        <f t="shared" ca="1" si="9"/>
        <v>0.14272500000000002</v>
      </c>
      <c r="W116" s="204">
        <f t="shared" ca="1" si="12"/>
        <v>20.897937225000003</v>
      </c>
      <c r="Y116" s="209">
        <f t="shared" ca="1" si="3"/>
        <v>146.42099999999999</v>
      </c>
      <c r="Z116" s="118">
        <f t="shared" ca="1" si="10"/>
        <v>0.14272500000000002</v>
      </c>
      <c r="AA116" s="204">
        <f t="shared" ca="1" si="13"/>
        <v>20.897937225000003</v>
      </c>
      <c r="AC116" s="209">
        <f t="shared" ca="1" si="4"/>
        <v>2.7375E-2</v>
      </c>
      <c r="AD116" s="118">
        <f t="shared" ca="1" si="5"/>
        <v>0</v>
      </c>
      <c r="AE116" s="118">
        <f t="shared" ca="1" si="6"/>
        <v>2.7375E-2</v>
      </c>
      <c r="AF116" s="118">
        <f t="shared" ca="1" si="7"/>
        <v>0.74543835616438336</v>
      </c>
      <c r="AG116" s="118">
        <f t="shared" ca="1" si="8"/>
        <v>894.25269999999966</v>
      </c>
      <c r="AH116" s="204">
        <f t="shared" ca="1" si="11"/>
        <v>24.480167662499991</v>
      </c>
      <c r="AI116" s="259"/>
    </row>
    <row r="117" spans="11:35" x14ac:dyDescent="0.2">
      <c r="K117" s="146"/>
      <c r="L117" s="146"/>
      <c r="M117" s="265"/>
      <c r="N117" s="265"/>
      <c r="O117" s="265"/>
      <c r="P117" s="265"/>
      <c r="Q117" s="265"/>
      <c r="R117" s="117"/>
      <c r="S117" s="155"/>
      <c r="T117" s="238">
        <v>0.16</v>
      </c>
      <c r="U117" s="209">
        <f t="shared" ca="1" si="2"/>
        <v>156.1824</v>
      </c>
      <c r="V117" s="118">
        <f t="shared" ca="1" si="9"/>
        <v>0.14124</v>
      </c>
      <c r="W117" s="204">
        <f t="shared" ca="1" si="12"/>
        <v>22.059202175999999</v>
      </c>
      <c r="Y117" s="209">
        <f t="shared" ca="1" si="3"/>
        <v>156.1824</v>
      </c>
      <c r="Z117" s="118">
        <f t="shared" ca="1" si="10"/>
        <v>0.14124</v>
      </c>
      <c r="AA117" s="204">
        <f t="shared" ca="1" si="13"/>
        <v>22.059202175999999</v>
      </c>
      <c r="AC117" s="209">
        <f t="shared" ca="1" si="4"/>
        <v>2.92E-2</v>
      </c>
      <c r="AD117" s="118">
        <f t="shared" ca="1" si="5"/>
        <v>0</v>
      </c>
      <c r="AE117" s="118">
        <f t="shared" ca="1" si="6"/>
        <v>2.92E-2</v>
      </c>
      <c r="AF117" s="118">
        <f t="shared" ca="1" si="7"/>
        <v>0.7340383561643834</v>
      </c>
      <c r="AG117" s="118">
        <f t="shared" ca="1" si="8"/>
        <v>880.57687999999962</v>
      </c>
      <c r="AH117" s="204">
        <f t="shared" ca="1" si="11"/>
        <v>25.712844895999989</v>
      </c>
      <c r="AI117" s="259"/>
    </row>
    <row r="118" spans="11:35" x14ac:dyDescent="0.2">
      <c r="K118" s="146"/>
      <c r="L118" s="146"/>
      <c r="M118" s="265"/>
      <c r="N118" s="265"/>
      <c r="O118" s="265"/>
      <c r="P118" s="265"/>
      <c r="Q118" s="265"/>
      <c r="R118" s="117"/>
      <c r="S118" s="155"/>
      <c r="T118" s="238">
        <v>0.17</v>
      </c>
      <c r="U118" s="209">
        <f t="shared" ca="1" si="2"/>
        <v>165.94380000000001</v>
      </c>
      <c r="V118" s="118">
        <f t="shared" ca="1" si="9"/>
        <v>0.13975500000000002</v>
      </c>
      <c r="W118" s="204">
        <f t="shared" ca="1" si="12"/>
        <v>23.191475769000004</v>
      </c>
      <c r="Y118" s="209">
        <f t="shared" ca="1" si="3"/>
        <v>165.94380000000001</v>
      </c>
      <c r="Z118" s="118">
        <f t="shared" ca="1" si="10"/>
        <v>0.13975500000000002</v>
      </c>
      <c r="AA118" s="204">
        <f t="shared" ca="1" si="13"/>
        <v>23.191475769000004</v>
      </c>
      <c r="AC118" s="209">
        <f t="shared" ca="1" si="4"/>
        <v>3.1025E-2</v>
      </c>
      <c r="AD118" s="118">
        <f t="shared" ca="1" si="5"/>
        <v>0</v>
      </c>
      <c r="AE118" s="118">
        <f t="shared" ca="1" si="6"/>
        <v>3.1025E-2</v>
      </c>
      <c r="AF118" s="118">
        <f t="shared" ca="1" si="7"/>
        <v>0.72263835616438332</v>
      </c>
      <c r="AG118" s="118">
        <f t="shared" ca="1" si="8"/>
        <v>866.90105999999969</v>
      </c>
      <c r="AH118" s="204">
        <f t="shared" ca="1" si="11"/>
        <v>26.895605386499991</v>
      </c>
      <c r="AI118" s="259"/>
    </row>
    <row r="119" spans="11:35" x14ac:dyDescent="0.2">
      <c r="K119" s="146"/>
      <c r="L119" s="146"/>
      <c r="M119" s="265"/>
      <c r="N119" s="265"/>
      <c r="O119" s="265"/>
      <c r="P119" s="265"/>
      <c r="Q119" s="265"/>
      <c r="R119" s="117"/>
      <c r="S119" s="155"/>
      <c r="T119" s="238">
        <v>0.18</v>
      </c>
      <c r="U119" s="209">
        <f t="shared" ca="1" si="2"/>
        <v>175.70519999999999</v>
      </c>
      <c r="V119" s="118">
        <f t="shared" ca="1" si="9"/>
        <v>0.13827</v>
      </c>
      <c r="W119" s="204">
        <f t="shared" ca="1" si="12"/>
        <v>24.294758003999998</v>
      </c>
      <c r="Y119" s="209">
        <f t="shared" ca="1" si="3"/>
        <v>175.70519999999999</v>
      </c>
      <c r="Z119" s="118">
        <f t="shared" ca="1" si="10"/>
        <v>0.13827</v>
      </c>
      <c r="AA119" s="204">
        <f t="shared" ca="1" si="13"/>
        <v>24.294758003999998</v>
      </c>
      <c r="AC119" s="209">
        <f t="shared" ca="1" si="4"/>
        <v>3.2849999999999997E-2</v>
      </c>
      <c r="AD119" s="118">
        <f t="shared" ca="1" si="5"/>
        <v>0</v>
      </c>
      <c r="AE119" s="118">
        <f t="shared" ca="1" si="6"/>
        <v>3.2849999999999997E-2</v>
      </c>
      <c r="AF119" s="118">
        <f t="shared" ca="1" si="7"/>
        <v>0.71123835616438347</v>
      </c>
      <c r="AG119" s="118">
        <f t="shared" ca="1" si="8"/>
        <v>853.22523999999964</v>
      </c>
      <c r="AH119" s="204">
        <f t="shared" ca="1" si="11"/>
        <v>28.028449133999985</v>
      </c>
      <c r="AI119" s="259"/>
    </row>
    <row r="120" spans="11:35" x14ac:dyDescent="0.2">
      <c r="K120" s="146"/>
      <c r="L120" s="146"/>
      <c r="M120" s="265"/>
      <c r="N120" s="265"/>
      <c r="O120" s="265"/>
      <c r="P120" s="265"/>
      <c r="Q120" s="265"/>
      <c r="R120" s="117"/>
      <c r="S120" s="155"/>
      <c r="T120" s="238">
        <v>0.19</v>
      </c>
      <c r="U120" s="209">
        <f t="shared" ca="1" si="2"/>
        <v>185.4666</v>
      </c>
      <c r="V120" s="118">
        <f t="shared" ca="1" si="9"/>
        <v>0.13678500000000002</v>
      </c>
      <c r="W120" s="204">
        <f t="shared" ca="1" si="12"/>
        <v>25.369048881000005</v>
      </c>
      <c r="Y120" s="209">
        <f t="shared" ca="1" si="3"/>
        <v>185.4666</v>
      </c>
      <c r="Z120" s="118">
        <f t="shared" ca="1" si="10"/>
        <v>0.13678500000000002</v>
      </c>
      <c r="AA120" s="204">
        <f t="shared" ca="1" si="13"/>
        <v>25.369048881000005</v>
      </c>
      <c r="AC120" s="209">
        <f t="shared" ca="1" si="4"/>
        <v>3.4674999999999997E-2</v>
      </c>
      <c r="AD120" s="118">
        <f t="shared" ca="1" si="5"/>
        <v>0</v>
      </c>
      <c r="AE120" s="118">
        <f t="shared" ca="1" si="6"/>
        <v>3.4674999999999997E-2</v>
      </c>
      <c r="AF120" s="118">
        <f t="shared" ca="1" si="7"/>
        <v>0.6998383561643835</v>
      </c>
      <c r="AG120" s="118">
        <f t="shared" ca="1" si="8"/>
        <v>839.54941999999983</v>
      </c>
      <c r="AH120" s="204">
        <f t="shared" ca="1" si="11"/>
        <v>29.111376138499992</v>
      </c>
      <c r="AI120" s="259"/>
    </row>
    <row r="121" spans="11:35" x14ac:dyDescent="0.2">
      <c r="K121" s="146"/>
      <c r="L121" s="146"/>
      <c r="M121" s="265"/>
      <c r="N121" s="265"/>
      <c r="O121" s="265"/>
      <c r="P121" s="265"/>
      <c r="Q121" s="265"/>
      <c r="R121" s="117"/>
      <c r="S121" s="155"/>
      <c r="T121" s="238">
        <v>0.2</v>
      </c>
      <c r="U121" s="209">
        <f t="shared" ca="1" si="2"/>
        <v>195.22800000000001</v>
      </c>
      <c r="V121" s="118">
        <f t="shared" ca="1" si="9"/>
        <v>0.1353</v>
      </c>
      <c r="W121" s="204">
        <f t="shared" ca="1" si="12"/>
        <v>26.414348400000002</v>
      </c>
      <c r="Y121" s="209">
        <f t="shared" ca="1" si="3"/>
        <v>195.22800000000001</v>
      </c>
      <c r="Z121" s="118">
        <f t="shared" ca="1" si="10"/>
        <v>0.1353</v>
      </c>
      <c r="AA121" s="204">
        <f t="shared" ca="1" si="13"/>
        <v>26.414348400000002</v>
      </c>
      <c r="AC121" s="209">
        <f t="shared" ca="1" si="4"/>
        <v>3.6499999999999998E-2</v>
      </c>
      <c r="AD121" s="118">
        <f t="shared" ca="1" si="5"/>
        <v>0</v>
      </c>
      <c r="AE121" s="118">
        <f t="shared" ca="1" si="6"/>
        <v>3.6499999999999998E-2</v>
      </c>
      <c r="AF121" s="118">
        <f t="shared" ca="1" si="7"/>
        <v>0.68843835616438342</v>
      </c>
      <c r="AG121" s="118">
        <f t="shared" ca="1" si="8"/>
        <v>825.87359999999967</v>
      </c>
      <c r="AH121" s="204">
        <f t="shared" ca="1" si="11"/>
        <v>30.144386399999988</v>
      </c>
      <c r="AI121" s="259"/>
    </row>
    <row r="122" spans="11:35" x14ac:dyDescent="0.2">
      <c r="K122" s="146"/>
      <c r="L122" s="146"/>
      <c r="M122" s="265"/>
      <c r="N122" s="265"/>
      <c r="O122" s="265"/>
      <c r="P122" s="265"/>
      <c r="Q122" s="265"/>
      <c r="R122" s="117"/>
      <c r="S122" s="155"/>
      <c r="T122" s="238">
        <v>0.21</v>
      </c>
      <c r="U122" s="209">
        <f t="shared" ca="1" si="2"/>
        <v>204.98939999999999</v>
      </c>
      <c r="V122" s="118">
        <f t="shared" ca="1" si="9"/>
        <v>0.13381500000000002</v>
      </c>
      <c r="W122" s="204">
        <f t="shared" ca="1" si="12"/>
        <v>27.430656561000003</v>
      </c>
      <c r="Y122" s="209">
        <f t="shared" ca="1" si="3"/>
        <v>204.98939999999999</v>
      </c>
      <c r="Z122" s="118">
        <f t="shared" ca="1" si="10"/>
        <v>0.13381500000000002</v>
      </c>
      <c r="AA122" s="204">
        <f t="shared" ca="1" si="13"/>
        <v>27.430656561000003</v>
      </c>
      <c r="AC122" s="209">
        <f t="shared" ca="1" si="4"/>
        <v>3.8324999999999998E-2</v>
      </c>
      <c r="AD122" s="118">
        <f t="shared" ca="1" si="5"/>
        <v>0</v>
      </c>
      <c r="AE122" s="118">
        <f t="shared" ca="1" si="6"/>
        <v>3.8324999999999998E-2</v>
      </c>
      <c r="AF122" s="118">
        <f t="shared" ca="1" si="7"/>
        <v>0.67703835616438346</v>
      </c>
      <c r="AG122" s="118">
        <f t="shared" ca="1" si="8"/>
        <v>812.19777999999985</v>
      </c>
      <c r="AH122" s="204">
        <f t="shared" ca="1" si="11"/>
        <v>31.127479918499994</v>
      </c>
      <c r="AI122" s="259"/>
    </row>
    <row r="123" spans="11:35" x14ac:dyDescent="0.2">
      <c r="K123" s="384" t="s">
        <v>567</v>
      </c>
      <c r="L123" s="382"/>
      <c r="M123" s="383"/>
      <c r="N123" s="383"/>
      <c r="O123" s="383"/>
      <c r="P123" s="383"/>
      <c r="Q123" s="383"/>
      <c r="R123" s="117"/>
      <c r="S123" s="155"/>
      <c r="T123" s="238">
        <v>0.22</v>
      </c>
      <c r="U123" s="209">
        <f t="shared" ca="1" si="2"/>
        <v>214.7508</v>
      </c>
      <c r="V123" s="118">
        <f t="shared" ca="1" si="9"/>
        <v>0.13233</v>
      </c>
      <c r="W123" s="204">
        <f t="shared" ca="1" si="12"/>
        <v>28.417973364000002</v>
      </c>
      <c r="Y123" s="209">
        <f t="shared" ca="1" si="3"/>
        <v>214.7508</v>
      </c>
      <c r="Z123" s="118">
        <f t="shared" ca="1" si="10"/>
        <v>0.13233</v>
      </c>
      <c r="AA123" s="204">
        <f t="shared" ca="1" si="13"/>
        <v>28.417973364000002</v>
      </c>
      <c r="AC123" s="209">
        <f t="shared" ca="1" si="4"/>
        <v>4.0149999999999998E-2</v>
      </c>
      <c r="AD123" s="118">
        <f t="shared" ca="1" si="5"/>
        <v>0</v>
      </c>
      <c r="AE123" s="118">
        <f t="shared" ca="1" si="6"/>
        <v>4.0149999999999998E-2</v>
      </c>
      <c r="AF123" s="118">
        <f t="shared" ca="1" si="7"/>
        <v>0.66563835616438349</v>
      </c>
      <c r="AG123" s="118">
        <f t="shared" ca="1" si="8"/>
        <v>798.52195999999992</v>
      </c>
      <c r="AH123" s="204">
        <f t="shared" ca="1" si="11"/>
        <v>32.060656693999995</v>
      </c>
      <c r="AI123" s="259"/>
    </row>
    <row r="124" spans="11:35" x14ac:dyDescent="0.2">
      <c r="K124" s="385" t="s">
        <v>589</v>
      </c>
      <c r="L124" s="146"/>
      <c r="M124" s="265"/>
      <c r="N124" s="265"/>
      <c r="O124" s="265"/>
      <c r="P124" s="265"/>
      <c r="Q124" s="265"/>
      <c r="R124" s="117"/>
      <c r="S124" s="155"/>
      <c r="T124" s="238">
        <v>0.23</v>
      </c>
      <c r="U124" s="209">
        <f t="shared" ca="1" si="2"/>
        <v>224.51220000000001</v>
      </c>
      <c r="V124" s="118">
        <f t="shared" ca="1" si="9"/>
        <v>0.13084500000000002</v>
      </c>
      <c r="W124" s="204">
        <f t="shared" ca="1" si="12"/>
        <v>29.376298809000005</v>
      </c>
      <c r="Y124" s="209">
        <f t="shared" ca="1" si="3"/>
        <v>224.51220000000001</v>
      </c>
      <c r="Z124" s="118">
        <f t="shared" ca="1" si="10"/>
        <v>0.13084500000000002</v>
      </c>
      <c r="AA124" s="204">
        <f t="shared" ca="1" si="13"/>
        <v>29.376298809000005</v>
      </c>
      <c r="AC124" s="209">
        <f t="shared" ca="1" si="4"/>
        <v>4.1974999999999998E-2</v>
      </c>
      <c r="AD124" s="118">
        <f t="shared" ca="1" si="5"/>
        <v>0</v>
      </c>
      <c r="AE124" s="118">
        <f t="shared" ca="1" si="6"/>
        <v>4.1974999999999998E-2</v>
      </c>
      <c r="AF124" s="118">
        <f t="shared" ca="1" si="7"/>
        <v>0.65423835616438342</v>
      </c>
      <c r="AG124" s="118">
        <f t="shared" ca="1" si="8"/>
        <v>784.84613999999988</v>
      </c>
      <c r="AH124" s="204">
        <f t="shared" ca="1" si="11"/>
        <v>32.943916726499992</v>
      </c>
      <c r="AI124" s="259"/>
    </row>
    <row r="125" spans="11:35" x14ac:dyDescent="0.2">
      <c r="K125" s="385" t="s">
        <v>571</v>
      </c>
      <c r="L125" s="146"/>
      <c r="M125" s="265"/>
      <c r="N125" s="265"/>
      <c r="O125" s="265"/>
      <c r="P125" s="265"/>
      <c r="Q125" s="265"/>
      <c r="R125" s="117"/>
      <c r="S125" s="155"/>
      <c r="T125" s="238">
        <v>0.24</v>
      </c>
      <c r="U125" s="209">
        <f t="shared" ca="1" si="2"/>
        <v>234.27359999999999</v>
      </c>
      <c r="V125" s="118">
        <f t="shared" ca="1" si="9"/>
        <v>0.12936</v>
      </c>
      <c r="W125" s="204">
        <f t="shared" ca="1" si="12"/>
        <v>30.305632895999999</v>
      </c>
      <c r="Y125" s="209">
        <f t="shared" ca="1" si="3"/>
        <v>234.27359999999999</v>
      </c>
      <c r="Z125" s="118">
        <f t="shared" ca="1" si="10"/>
        <v>0.12936</v>
      </c>
      <c r="AA125" s="204">
        <f t="shared" ca="1" si="13"/>
        <v>30.305632895999999</v>
      </c>
      <c r="AC125" s="209">
        <f t="shared" ca="1" si="4"/>
        <v>4.3799999999999999E-2</v>
      </c>
      <c r="AD125" s="118">
        <f t="shared" ca="1" si="5"/>
        <v>0</v>
      </c>
      <c r="AE125" s="118">
        <f t="shared" ca="1" si="6"/>
        <v>4.3799999999999999E-2</v>
      </c>
      <c r="AF125" s="118">
        <f t="shared" ca="1" si="7"/>
        <v>0.64283835616438345</v>
      </c>
      <c r="AG125" s="118">
        <f t="shared" ca="1" si="8"/>
        <v>771.17031999999983</v>
      </c>
      <c r="AH125" s="204">
        <f t="shared" ca="1" si="11"/>
        <v>33.777260015999993</v>
      </c>
      <c r="AI125" s="259"/>
    </row>
    <row r="126" spans="11:35" x14ac:dyDescent="0.2">
      <c r="K126" s="385" t="s">
        <v>572</v>
      </c>
      <c r="L126" s="146"/>
      <c r="M126" s="265"/>
      <c r="N126" s="265"/>
      <c r="O126" s="265"/>
      <c r="P126" s="265"/>
      <c r="Q126" s="265"/>
      <c r="R126" s="117"/>
      <c r="S126" s="155"/>
      <c r="T126" s="238">
        <v>0.25</v>
      </c>
      <c r="U126" s="209">
        <f t="shared" ca="1" si="2"/>
        <v>244.035</v>
      </c>
      <c r="V126" s="118">
        <f t="shared" ca="1" si="9"/>
        <v>0.12787500000000002</v>
      </c>
      <c r="W126" s="204">
        <f t="shared" ca="1" si="12"/>
        <v>31.205975625000004</v>
      </c>
      <c r="Y126" s="209">
        <f t="shared" ca="1" si="3"/>
        <v>244.035</v>
      </c>
      <c r="Z126" s="118">
        <f t="shared" ca="1" si="10"/>
        <v>0.12787500000000002</v>
      </c>
      <c r="AA126" s="204">
        <f t="shared" ca="1" si="13"/>
        <v>31.205975625000004</v>
      </c>
      <c r="AC126" s="209">
        <f t="shared" ca="1" si="4"/>
        <v>4.5624999999999999E-2</v>
      </c>
      <c r="AD126" s="118">
        <f t="shared" ca="1" si="5"/>
        <v>0</v>
      </c>
      <c r="AE126" s="118">
        <f t="shared" ca="1" si="6"/>
        <v>4.5624999999999999E-2</v>
      </c>
      <c r="AF126" s="118">
        <f t="shared" ca="1" si="7"/>
        <v>0.63143835616438349</v>
      </c>
      <c r="AG126" s="118">
        <f t="shared" ca="1" si="8"/>
        <v>757.4944999999999</v>
      </c>
      <c r="AH126" s="204">
        <f t="shared" ca="1" si="11"/>
        <v>34.560686562499995</v>
      </c>
      <c r="AI126" s="259"/>
    </row>
    <row r="127" spans="11:35" x14ac:dyDescent="0.2">
      <c r="K127" s="385" t="s">
        <v>573</v>
      </c>
      <c r="L127" s="146"/>
      <c r="M127" s="265"/>
      <c r="N127" s="265"/>
      <c r="O127" s="265"/>
      <c r="P127" s="265"/>
      <c r="Q127" s="265"/>
      <c r="R127" s="117"/>
      <c r="S127" s="155"/>
      <c r="T127" s="238">
        <v>0.26</v>
      </c>
      <c r="U127" s="209">
        <f t="shared" ca="1" si="2"/>
        <v>253.79640000000001</v>
      </c>
      <c r="V127" s="118">
        <f t="shared" ca="1" si="9"/>
        <v>0.12639</v>
      </c>
      <c r="W127" s="204">
        <f t="shared" ca="1" si="12"/>
        <v>32.077326996000004</v>
      </c>
      <c r="Y127" s="209">
        <f t="shared" ca="1" si="3"/>
        <v>253.79640000000001</v>
      </c>
      <c r="Z127" s="118">
        <f t="shared" ca="1" si="10"/>
        <v>0.12639</v>
      </c>
      <c r="AA127" s="204">
        <f t="shared" ca="1" si="13"/>
        <v>32.077326996000004</v>
      </c>
      <c r="AC127" s="209">
        <f t="shared" ca="1" si="4"/>
        <v>4.7449999999999999E-2</v>
      </c>
      <c r="AD127" s="118">
        <f t="shared" ca="1" si="5"/>
        <v>0</v>
      </c>
      <c r="AE127" s="118">
        <f t="shared" ca="1" si="6"/>
        <v>4.7449999999999999E-2</v>
      </c>
      <c r="AF127" s="118">
        <f t="shared" ca="1" si="7"/>
        <v>0.62003835616438341</v>
      </c>
      <c r="AG127" s="118">
        <f t="shared" ca="1" si="8"/>
        <v>743.81867999999963</v>
      </c>
      <c r="AH127" s="204">
        <f t="shared" ca="1" si="11"/>
        <v>35.29419636599998</v>
      </c>
      <c r="AI127" s="259"/>
    </row>
    <row r="128" spans="11:35" x14ac:dyDescent="0.2">
      <c r="K128" s="385" t="s">
        <v>583</v>
      </c>
      <c r="L128" s="146"/>
      <c r="M128" s="265"/>
      <c r="N128" s="265"/>
      <c r="O128" s="265"/>
      <c r="P128" s="265"/>
      <c r="Q128" s="265"/>
      <c r="R128" s="117"/>
      <c r="S128" s="155"/>
      <c r="T128" s="238">
        <v>0.27</v>
      </c>
      <c r="U128" s="209">
        <f t="shared" ca="1" si="2"/>
        <v>263.55779999999999</v>
      </c>
      <c r="V128" s="118">
        <f t="shared" ca="1" si="9"/>
        <v>0.12490500000000002</v>
      </c>
      <c r="W128" s="204">
        <f t="shared" ca="1" si="12"/>
        <v>32.919687009</v>
      </c>
      <c r="Y128" s="209">
        <f t="shared" ca="1" si="3"/>
        <v>263.55779999999999</v>
      </c>
      <c r="Z128" s="118">
        <f t="shared" ca="1" si="10"/>
        <v>0.12490500000000002</v>
      </c>
      <c r="AA128" s="204">
        <f t="shared" ca="1" si="13"/>
        <v>32.919687009</v>
      </c>
      <c r="AC128" s="209">
        <f t="shared" ca="1" si="4"/>
        <v>4.9274999999999999E-2</v>
      </c>
      <c r="AD128" s="118">
        <f t="shared" ca="1" si="5"/>
        <v>0</v>
      </c>
      <c r="AE128" s="118">
        <f t="shared" ca="1" si="6"/>
        <v>4.9274999999999999E-2</v>
      </c>
      <c r="AF128" s="118">
        <f t="shared" ca="1" si="7"/>
        <v>0.60863835616438344</v>
      </c>
      <c r="AG128" s="118">
        <f t="shared" ca="1" si="8"/>
        <v>730.14285999999981</v>
      </c>
      <c r="AH128" s="204">
        <f t="shared" ca="1" si="11"/>
        <v>35.977789426499989</v>
      </c>
      <c r="AI128" s="259"/>
    </row>
    <row r="129" spans="3:35" x14ac:dyDescent="0.2">
      <c r="G129" s="64" t="b">
        <v>1</v>
      </c>
      <c r="K129" s="304" t="s">
        <v>268</v>
      </c>
      <c r="L129" s="305" t="s">
        <v>547</v>
      </c>
      <c r="M129" s="306"/>
      <c r="N129" s="306"/>
      <c r="O129" s="306"/>
      <c r="P129" s="306"/>
      <c r="Q129" s="306"/>
      <c r="R129" s="117"/>
      <c r="S129" s="155"/>
      <c r="T129" s="238">
        <v>0.28000000000000003</v>
      </c>
      <c r="U129" s="209">
        <f t="shared" ca="1" si="2"/>
        <v>273.31920000000002</v>
      </c>
      <c r="V129" s="118">
        <f t="shared" ca="1" si="9"/>
        <v>0.12342</v>
      </c>
      <c r="W129" s="204">
        <f t="shared" ca="1" si="12"/>
        <v>33.733055664000005</v>
      </c>
      <c r="Y129" s="209">
        <f t="shared" ca="1" si="3"/>
        <v>273.31920000000002</v>
      </c>
      <c r="Z129" s="118">
        <f t="shared" ca="1" si="10"/>
        <v>0.12342</v>
      </c>
      <c r="AA129" s="204">
        <f t="shared" ca="1" si="13"/>
        <v>33.733055664000005</v>
      </c>
      <c r="AC129" s="209">
        <f t="shared" ca="1" si="4"/>
        <v>5.1100000000000007E-2</v>
      </c>
      <c r="AD129" s="118">
        <f t="shared" ca="1" si="5"/>
        <v>0</v>
      </c>
      <c r="AE129" s="118">
        <f t="shared" ca="1" si="6"/>
        <v>5.1100000000000007E-2</v>
      </c>
      <c r="AF129" s="118">
        <f t="shared" ca="1" si="7"/>
        <v>0.59723835616438337</v>
      </c>
      <c r="AG129" s="118">
        <f t="shared" ca="1" si="8"/>
        <v>716.46703999999988</v>
      </c>
      <c r="AH129" s="204">
        <f t="shared" ca="1" si="11"/>
        <v>36.611465744</v>
      </c>
      <c r="AI129" s="259"/>
    </row>
    <row r="130" spans="3:35" x14ac:dyDescent="0.2">
      <c r="K130" s="140" t="s">
        <v>269</v>
      </c>
      <c r="L130" s="140" t="str">
        <f ca="1">IF(rF1.CheckWoodenSlabCalc,rP2.OutputEccentricityWoodenSlab,"")</f>
        <v/>
      </c>
      <c r="M130" s="140"/>
      <c r="N130" s="140"/>
      <c r="O130" s="140"/>
      <c r="P130" s="140"/>
      <c r="Q130" s="141"/>
      <c r="R130" s="117"/>
      <c r="S130" s="155"/>
      <c r="T130" s="238">
        <v>0.28999999999999998</v>
      </c>
      <c r="U130" s="209">
        <f t="shared" ca="1" si="2"/>
        <v>283.0806</v>
      </c>
      <c r="V130" s="118">
        <f t="shared" ca="1" si="9"/>
        <v>0.12193500000000002</v>
      </c>
      <c r="W130" s="204">
        <f t="shared" ca="1" si="12"/>
        <v>34.517432961000004</v>
      </c>
      <c r="Y130" s="209">
        <f t="shared" ca="1" si="3"/>
        <v>283.0806</v>
      </c>
      <c r="Z130" s="118">
        <f t="shared" ca="1" si="10"/>
        <v>0.12193500000000002</v>
      </c>
      <c r="AA130" s="204">
        <f t="shared" ca="1" si="13"/>
        <v>34.517432961000004</v>
      </c>
      <c r="AC130" s="209">
        <f t="shared" ca="1" si="4"/>
        <v>5.2924999999999993E-2</v>
      </c>
      <c r="AD130" s="118">
        <f t="shared" ca="1" si="5"/>
        <v>0</v>
      </c>
      <c r="AE130" s="118">
        <f t="shared" ca="1" si="6"/>
        <v>5.2924999999999993E-2</v>
      </c>
      <c r="AF130" s="118">
        <f t="shared" ca="1" si="7"/>
        <v>0.5858383561643834</v>
      </c>
      <c r="AG130" s="118">
        <f t="shared" ca="1" si="8"/>
        <v>702.79121999999984</v>
      </c>
      <c r="AH130" s="204">
        <f t="shared" ca="1" si="11"/>
        <v>37.195225318499986</v>
      </c>
      <c r="AI130" s="259"/>
    </row>
    <row r="131" spans="3:35" x14ac:dyDescent="0.2">
      <c r="K131" s="142" t="s">
        <v>270</v>
      </c>
      <c r="L131" s="142"/>
      <c r="M131" s="143" t="s">
        <v>485</v>
      </c>
      <c r="N131" s="143" t="s">
        <v>212</v>
      </c>
      <c r="O131" s="143" t="s">
        <v>486</v>
      </c>
      <c r="P131" s="143"/>
      <c r="Q131" s="192"/>
      <c r="S131" s="155"/>
      <c r="T131" s="238">
        <v>0.3</v>
      </c>
      <c r="U131" s="209">
        <f t="shared" ca="1" si="2"/>
        <v>292.84199999999998</v>
      </c>
      <c r="V131" s="118">
        <f t="shared" ca="1" si="9"/>
        <v>0.12045</v>
      </c>
      <c r="W131" s="204">
        <f t="shared" ca="1" si="12"/>
        <v>35.272818899999997</v>
      </c>
      <c r="Y131" s="209">
        <f t="shared" ca="1" si="3"/>
        <v>292.84199999999998</v>
      </c>
      <c r="Z131" s="118">
        <f t="shared" ca="1" si="10"/>
        <v>0.12045</v>
      </c>
      <c r="AA131" s="204">
        <f t="shared" ca="1" si="13"/>
        <v>35.272818899999997</v>
      </c>
      <c r="AC131" s="209">
        <f t="shared" ca="1" si="4"/>
        <v>5.475E-2</v>
      </c>
      <c r="AD131" s="118">
        <f t="shared" ca="1" si="5"/>
        <v>0</v>
      </c>
      <c r="AE131" s="118">
        <f t="shared" ca="1" si="6"/>
        <v>5.475E-2</v>
      </c>
      <c r="AF131" s="118">
        <f t="shared" ca="1" si="7"/>
        <v>0.57443835616438343</v>
      </c>
      <c r="AG131" s="118">
        <f t="shared" ca="1" si="8"/>
        <v>689.11539999999979</v>
      </c>
      <c r="AH131" s="204">
        <f t="shared" ca="1" si="11"/>
        <v>37.729068149999989</v>
      </c>
      <c r="AI131" s="259"/>
    </row>
    <row r="132" spans="3:35" x14ac:dyDescent="0.2">
      <c r="C132" s="194"/>
      <c r="K132" s="146" t="s">
        <v>213</v>
      </c>
      <c r="L132" s="146"/>
      <c r="M132" s="307" t="str">
        <f ca="1">OFFSET(rL2.MainGroupsHead01,rF1.MainGroupSelection,0,1,1)</f>
        <v>Betonwand</v>
      </c>
      <c r="N132" s="307" t="str">
        <f ca="1">OFFSET(rL2.MainGroupsHead02,rF1.MainGroupSelection,0,1,1)</f>
        <v>MFH/Objektbau Perlite verfüllt</v>
      </c>
      <c r="O132" s="307" t="str">
        <f ca="1">OFFSET(rL2.MainGroupsHead03,rF1.MainGroupSelection,0,1,1)</f>
        <v>MFH/Objektbau Perlite verfüllt</v>
      </c>
      <c r="P132" s="146"/>
      <c r="Q132" s="146"/>
      <c r="S132" s="155"/>
      <c r="T132" s="238">
        <v>0.31</v>
      </c>
      <c r="U132" s="209">
        <f t="shared" ref="U132:U163" ca="1" si="14">IF(rF1.CheckWoodenSlabCalc,0,rF1.PlotAxForceFactor*rF1.PlotAxResistanceMaxTop)</f>
        <v>302.60340000000002</v>
      </c>
      <c r="V132" s="118">
        <f t="shared" ca="1" si="9"/>
        <v>0.118965</v>
      </c>
      <c r="W132" s="204">
        <f t="shared" ca="1" si="12"/>
        <v>35.999213481000005</v>
      </c>
      <c r="Y132" s="209">
        <f t="shared" ref="Y132:Y163" ca="1" si="15">IF(rF1.CheckWoodenSlabCalc,0,rF1.PlotAxForceFactor*rF1.PlotAxResistanceMaxBottom)</f>
        <v>302.60340000000002</v>
      </c>
      <c r="Z132" s="118">
        <f t="shared" ca="1" si="10"/>
        <v>0.118965</v>
      </c>
      <c r="AA132" s="204">
        <f t="shared" ca="1" si="13"/>
        <v>35.999213481000005</v>
      </c>
      <c r="AC132" s="209">
        <f t="shared" ca="1" si="4"/>
        <v>5.6575E-2</v>
      </c>
      <c r="AD132" s="118">
        <f t="shared" ca="1" si="5"/>
        <v>0</v>
      </c>
      <c r="AE132" s="118">
        <f t="shared" ca="1" si="6"/>
        <v>5.6575E-2</v>
      </c>
      <c r="AF132" s="118">
        <f t="shared" ref="AF132:AF163" ca="1" si="16">MIN(1.14*(1-2*rF1.PlotExcentricityTotalMiddle/rF1.WallThickness02)-0.024*rF1.WallHeightEffective/rF1.WallThickness02,1-2*rF1.PlotExcentricityTotalMiddle/rF1.WallThickness02)</f>
        <v>0.56303835616438336</v>
      </c>
      <c r="AG132" s="118">
        <f t="shared" ref="AG132:AG163" ca="1" si="17">IF(rF1.CheckWoodenSlabCalc,0,rF1.PlotReductionParameterMiddle*rF1.WallThickness02*rF1.ReductionMasonryStrenghtArea02*rF1.ReductionMasonryStrengthLongTerm*rF1.MasonryStrenghtChar02/rF1.SafetyFactorMaterial02*1000)</f>
        <v>675.43957999999964</v>
      </c>
      <c r="AH132" s="204">
        <f t="shared" ca="1" si="11"/>
        <v>38.212994238499981</v>
      </c>
      <c r="AI132" s="259"/>
    </row>
    <row r="133" spans="3:35" x14ac:dyDescent="0.2">
      <c r="C133" s="308">
        <v>0</v>
      </c>
      <c r="K133" s="266" t="s">
        <v>271</v>
      </c>
      <c r="L133" s="266"/>
      <c r="M133" s="309" t="str">
        <f ca="1">IF(rF1.CheckConcreteWall,"-",OFFSET(INDIRECT(rF1.BrickListNumber),MIN(rF1.BrickProductSelection*1,COUNTA(rF1.BrickList01)),rF1.ColumnPlacementFactor,1,1))</f>
        <v>-</v>
      </c>
      <c r="N133" s="309" t="str">
        <f ca="1">OFFSET(INDIRECT(rF1.BrickListNumber),MIN(rF1.BrickProductSelection*1,COUNTA(rF1.BrickList02)),rF1.ColumnPlacementFactor,1,1)</f>
        <v>S8-36,5-P</v>
      </c>
      <c r="O133" s="309" t="str">
        <f ca="1">OFFSET(INDIRECT(rF1.BrickListNumber),MIN(rF1.BrickProductSelection*1,COUNTA(rF1.BrickList03)),rF1.ColumnPlacementFactor,1,1)</f>
        <v>S8-36,5-P</v>
      </c>
      <c r="P133" s="266"/>
      <c r="Q133" s="266"/>
      <c r="S133" s="155"/>
      <c r="T133" s="238">
        <v>0.32</v>
      </c>
      <c r="U133" s="209">
        <f t="shared" ca="1" si="14"/>
        <v>312.3648</v>
      </c>
      <c r="V133" s="118">
        <f t="shared" ref="V133:V164" ca="1" si="18">rF1.PlotWallThicknessNettoTop/2-rF1.PlotAxForceTop*rF1.SafetyFactorMaterial02/(1000*2*rF1.MasonryStrenghtChar02*rF1.ReductionMasonryStrenghtArea02*rF1.ReductionMasonryStrengthLongTerm)</f>
        <v>0.11748</v>
      </c>
      <c r="W133" s="204">
        <f t="shared" ref="W133:W164" ca="1" si="19">rF1.PlotAxForceTop*rF1.PlotExcentricityTop</f>
        <v>36.696616704</v>
      </c>
      <c r="Y133" s="209">
        <f t="shared" ca="1" si="15"/>
        <v>312.3648</v>
      </c>
      <c r="Z133" s="118">
        <f t="shared" ref="Z133:Z164" ca="1" si="20">rF1.PlotWallThicknessNettoBottom/2-rF1.PlotAxForceBottom*rF1.SafetyFactorMaterial02/(1000*2*rF1.MasonryStrenghtChar02*rF1.ReductionMasonryStrenghtArea02*rF1.ReductionMasonryStrengthLongTerm)</f>
        <v>0.11748</v>
      </c>
      <c r="AA133" s="204">
        <f t="shared" ref="AA133:AA164" ca="1" si="21">rF1.PlotAxForceBottom*rF1.PlotExcentricityBottom</f>
        <v>36.696616704</v>
      </c>
      <c r="AC133" s="209">
        <f t="shared" ref="AC133:AC164" ca="1" si="22">rF1.PlotAxForceFactor*rF1.PlotExcentricityLoadMax</f>
        <v>5.8400000000000001E-2</v>
      </c>
      <c r="AD133" s="118">
        <f t="shared" ref="AD133:AD164" ca="1" si="23">IF(rF1.WallSlenderness02&lt;=rP1.MaxSlendernessCreepEcc,0,0.002*rP1.CreepCoefficient*rF1.WallHeightBuckling/rF1.WallHeight02*SQRT(rF1.WallHeight02*rF1.PlotExcentricityLoadMiddle))</f>
        <v>0</v>
      </c>
      <c r="AE133" s="118">
        <f t="shared" ref="AE133:AE164" ca="1" si="24">MAX(rF1.PlotExcentricityCreepMiddle+rF1.PlotExcentricityLoadMiddle,0.05*rF1.WallThickness02)</f>
        <v>5.8400000000000001E-2</v>
      </c>
      <c r="AF133" s="118">
        <f t="shared" ca="1" si="16"/>
        <v>0.55163835616438339</v>
      </c>
      <c r="AG133" s="118">
        <f t="shared" ca="1" si="17"/>
        <v>661.76375999999982</v>
      </c>
      <c r="AH133" s="204">
        <f t="shared" ref="AH133:AH164" ca="1" si="25">rF1.PlotExcentricityTotalMiddle*rF1.PlotAxForceMiddle</f>
        <v>38.647003583999989</v>
      </c>
      <c r="AI133" s="259"/>
    </row>
    <row r="134" spans="3:35" x14ac:dyDescent="0.2">
      <c r="C134" s="308">
        <v>7</v>
      </c>
      <c r="K134" s="146" t="s">
        <v>463</v>
      </c>
      <c r="L134" s="146"/>
      <c r="M134" s="310" t="str">
        <f ca="1">IF(rF1.CheckConcreteWall,OFFSET(rD3.Knoten,MIN(rF1.ConcreteFillSelection*1,COUNTA(rF1.ConcreteFillList01)),0,1,1),IF(rF1.CheckFoundation=1,"-",OFFSET(INDIRECT(rF1.BrickListNumber),MIN(rF1.BrickProductSelection*1,COUNTA(rF1.BrickList01)),rF1.ColumnPlacementFactor,1,1)))</f>
        <v>C25/30</v>
      </c>
      <c r="N134" s="310">
        <f ca="1">OFFSET(INDIRECT(rF1.BrickListNumber),MIN(rF1.BrickProductSelection*1,COUNTA(rF1.BrickList02)),rF1.ColumnPlacementFactor,1,1)</f>
        <v>10</v>
      </c>
      <c r="O134" s="310">
        <f ca="1">OFFSET(INDIRECT(rF1.BrickListNumber),MIN(rF1.BrickProductSelection*1,COUNTA(rF1.BrickList03)),rF1.ColumnPlacementFactor,1,1)</f>
        <v>10</v>
      </c>
      <c r="P134" s="146"/>
      <c r="Q134" s="146"/>
      <c r="R134" s="402"/>
      <c r="S134" s="155"/>
      <c r="T134" s="238">
        <v>0.33</v>
      </c>
      <c r="U134" s="209">
        <f t="shared" ca="1" si="14"/>
        <v>322.12619999999998</v>
      </c>
      <c r="V134" s="118">
        <f t="shared" ca="1" si="18"/>
        <v>0.11599500000000001</v>
      </c>
      <c r="W134" s="204">
        <f t="shared" ca="1" si="19"/>
        <v>37.365028569000003</v>
      </c>
      <c r="Y134" s="209">
        <f t="shared" ca="1" si="15"/>
        <v>322.12619999999998</v>
      </c>
      <c r="Z134" s="118">
        <f t="shared" ca="1" si="20"/>
        <v>0.11599500000000001</v>
      </c>
      <c r="AA134" s="204">
        <f t="shared" ca="1" si="21"/>
        <v>37.365028569000003</v>
      </c>
      <c r="AC134" s="209">
        <f t="shared" ca="1" si="22"/>
        <v>6.0225000000000001E-2</v>
      </c>
      <c r="AD134" s="118">
        <f t="shared" ca="1" si="23"/>
        <v>0</v>
      </c>
      <c r="AE134" s="118">
        <f t="shared" ca="1" si="24"/>
        <v>6.0225000000000001E-2</v>
      </c>
      <c r="AF134" s="118">
        <f t="shared" ca="1" si="16"/>
        <v>0.54023835616438332</v>
      </c>
      <c r="AG134" s="118">
        <f t="shared" ca="1" si="17"/>
        <v>648.08793999999966</v>
      </c>
      <c r="AH134" s="204">
        <f t="shared" ca="1" si="25"/>
        <v>39.03109618649998</v>
      </c>
      <c r="AI134" s="259"/>
    </row>
    <row r="135" spans="3:35" x14ac:dyDescent="0.2">
      <c r="C135" s="308">
        <v>6</v>
      </c>
      <c r="K135" s="311" t="s">
        <v>464</v>
      </c>
      <c r="L135" s="266"/>
      <c r="M135" s="312" t="str">
        <f ca="1">IF(rF1.CheckConcreteWall,"-",OFFSET(INDIRECT(rF1.BrickListNumber),MIN(rF1.BrickProductSelection*1,COUNTA(rF1.BrickList01)),rF1.ColumnPlacementFactor,1,1))</f>
        <v>-</v>
      </c>
      <c r="N135" s="312">
        <f ca="1">OFFSET(INDIRECT(rF1.BrickListNumber),MIN(rF1.BrickProductSelection*1,COUNTA(rF1.BrickList02)),rF1.ColumnPlacementFactor,1,1)</f>
        <v>0.75</v>
      </c>
      <c r="O135" s="312">
        <f ca="1">OFFSET(INDIRECT(rF1.BrickListNumber),MIN(rF1.BrickProductSelection*1,COUNTA(rF1.BrickList03)),rF1.ColumnPlacementFactor,1,1)</f>
        <v>0.75</v>
      </c>
      <c r="P135" s="266"/>
      <c r="Q135" s="266"/>
      <c r="R135" s="402"/>
      <c r="S135" s="155"/>
      <c r="T135" s="238">
        <v>0.34</v>
      </c>
      <c r="U135" s="209">
        <f t="shared" ca="1" si="14"/>
        <v>331.88760000000002</v>
      </c>
      <c r="V135" s="118">
        <f t="shared" ca="1" si="18"/>
        <v>0.11451</v>
      </c>
      <c r="W135" s="204">
        <f t="shared" ca="1" si="19"/>
        <v>38.004449076</v>
      </c>
      <c r="Y135" s="209">
        <f t="shared" ca="1" si="15"/>
        <v>331.88760000000002</v>
      </c>
      <c r="Z135" s="118">
        <f t="shared" ca="1" si="20"/>
        <v>0.11451</v>
      </c>
      <c r="AA135" s="204">
        <f t="shared" ca="1" si="21"/>
        <v>38.004449076</v>
      </c>
      <c r="AC135" s="209">
        <f t="shared" ca="1" si="22"/>
        <v>6.2050000000000001E-2</v>
      </c>
      <c r="AD135" s="118">
        <f t="shared" ca="1" si="23"/>
        <v>0</v>
      </c>
      <c r="AE135" s="118">
        <f t="shared" ca="1" si="24"/>
        <v>6.2050000000000001E-2</v>
      </c>
      <c r="AF135" s="118">
        <f t="shared" ca="1" si="16"/>
        <v>0.52883835616438335</v>
      </c>
      <c r="AG135" s="118">
        <f t="shared" ca="1" si="17"/>
        <v>634.41211999999962</v>
      </c>
      <c r="AH135" s="204">
        <f t="shared" ca="1" si="25"/>
        <v>39.36527204599998</v>
      </c>
      <c r="AI135" s="259"/>
    </row>
    <row r="136" spans="3:35" x14ac:dyDescent="0.2">
      <c r="C136" s="313">
        <v>22</v>
      </c>
      <c r="K136" s="170" t="s">
        <v>508</v>
      </c>
      <c r="L136" s="146"/>
      <c r="M136" s="314" t="str">
        <f ca="1">IF(rF1.CheckConcreteWall,"-",OFFSET(INDIRECT(rF1.BrickListNumber),MIN(rF1.BrickProductSelection*1,COUNTA(rF1.BrickList01)),rF1.ColumnPlacementFactor,1,1))</f>
        <v>-</v>
      </c>
      <c r="N136" s="314">
        <f ca="1">OFFSET(INDIRECT(rF1.BrickListNumber),MIN(rF1.BrickProductSelection*1,COUNTA(rF1.BrickList02)),rF1.ColumnPlacementFactor,1,1)</f>
        <v>35</v>
      </c>
      <c r="O136" s="314">
        <f ca="1">OFFSET(INDIRECT(rF1.BrickListNumber),MIN(rF1.BrickProductSelection*1,COUNTA(rF1.BrickList03)),rF1.ColumnPlacementFactor,1,1)</f>
        <v>35</v>
      </c>
      <c r="P136" s="146"/>
      <c r="Q136" s="146"/>
      <c r="R136" s="402"/>
      <c r="S136" s="155"/>
      <c r="T136" s="238">
        <v>0.35</v>
      </c>
      <c r="U136" s="209">
        <f t="shared" ca="1" si="14"/>
        <v>341.649</v>
      </c>
      <c r="V136" s="118">
        <f t="shared" ca="1" si="18"/>
        <v>0.113025</v>
      </c>
      <c r="W136" s="204">
        <f t="shared" ca="1" si="19"/>
        <v>38.614878224999998</v>
      </c>
      <c r="Y136" s="209">
        <f t="shared" ca="1" si="15"/>
        <v>341.649</v>
      </c>
      <c r="Z136" s="118">
        <f t="shared" ca="1" si="20"/>
        <v>0.113025</v>
      </c>
      <c r="AA136" s="204">
        <f t="shared" ca="1" si="21"/>
        <v>38.614878224999998</v>
      </c>
      <c r="AC136" s="209">
        <f t="shared" ca="1" si="22"/>
        <v>6.3875000000000001E-2</v>
      </c>
      <c r="AD136" s="118">
        <f t="shared" ca="1" si="23"/>
        <v>0</v>
      </c>
      <c r="AE136" s="118">
        <f t="shared" ca="1" si="24"/>
        <v>6.3875000000000001E-2</v>
      </c>
      <c r="AF136" s="118">
        <f t="shared" ca="1" si="16"/>
        <v>0.51743835616438338</v>
      </c>
      <c r="AG136" s="118">
        <f t="shared" ca="1" si="17"/>
        <v>620.7362999999998</v>
      </c>
      <c r="AH136" s="204">
        <f t="shared" ca="1" si="25"/>
        <v>39.64953116249999</v>
      </c>
      <c r="AI136" s="259"/>
    </row>
    <row r="137" spans="3:35" x14ac:dyDescent="0.2">
      <c r="K137" s="142" t="s">
        <v>272</v>
      </c>
      <c r="L137" s="142"/>
      <c r="M137" s="143"/>
      <c r="N137" s="143"/>
      <c r="O137" s="143"/>
      <c r="P137" s="143"/>
      <c r="Q137" s="192"/>
      <c r="R137" s="402"/>
      <c r="S137" s="155"/>
      <c r="T137" s="238">
        <v>0.36</v>
      </c>
      <c r="U137" s="209">
        <f t="shared" ca="1" si="14"/>
        <v>351.41039999999998</v>
      </c>
      <c r="V137" s="118">
        <f t="shared" ca="1" si="18"/>
        <v>0.11154</v>
      </c>
      <c r="W137" s="204">
        <f t="shared" ca="1" si="19"/>
        <v>39.196316015999997</v>
      </c>
      <c r="Y137" s="209">
        <f t="shared" ca="1" si="15"/>
        <v>351.41039999999998</v>
      </c>
      <c r="Z137" s="118">
        <f t="shared" ca="1" si="20"/>
        <v>0.11154</v>
      </c>
      <c r="AA137" s="204">
        <f t="shared" ca="1" si="21"/>
        <v>39.196316015999997</v>
      </c>
      <c r="AC137" s="209">
        <f t="shared" ca="1" si="22"/>
        <v>6.5699999999999995E-2</v>
      </c>
      <c r="AD137" s="118">
        <f t="shared" ca="1" si="23"/>
        <v>0</v>
      </c>
      <c r="AE137" s="118">
        <f t="shared" ca="1" si="24"/>
        <v>6.5699999999999995E-2</v>
      </c>
      <c r="AF137" s="118">
        <f t="shared" ca="1" si="16"/>
        <v>0.50603835616438342</v>
      </c>
      <c r="AG137" s="118">
        <f t="shared" ca="1" si="17"/>
        <v>607.06047999999976</v>
      </c>
      <c r="AH137" s="204">
        <f t="shared" ca="1" si="25"/>
        <v>39.883873535999982</v>
      </c>
      <c r="AI137" s="259"/>
    </row>
    <row r="138" spans="3:35" x14ac:dyDescent="0.2">
      <c r="C138" s="194"/>
      <c r="K138" s="170" t="s">
        <v>273</v>
      </c>
      <c r="L138" s="146"/>
      <c r="M138" s="315"/>
      <c r="N138" s="315">
        <f ca="1">IF(rF1.WallArea&lt;rP1.MaxWallAreaReduction,IF(rF1.PerforationFactor&lt;rP1.MaxPerfFactorReduction,0.7+3*rF1.WallArea,rP1.ReductionMasonryStrengthArea),1)</f>
        <v>1</v>
      </c>
      <c r="O138" s="315"/>
      <c r="P138" s="146"/>
      <c r="Q138" s="146"/>
      <c r="R138" s="402"/>
      <c r="S138" s="155"/>
      <c r="T138" s="238">
        <v>0.37</v>
      </c>
      <c r="U138" s="209">
        <f t="shared" ca="1" si="14"/>
        <v>361.17180000000002</v>
      </c>
      <c r="V138" s="118">
        <f t="shared" ca="1" si="18"/>
        <v>0.11005500000000001</v>
      </c>
      <c r="W138" s="204">
        <f t="shared" ca="1" si="19"/>
        <v>39.748762449000004</v>
      </c>
      <c r="Y138" s="209">
        <f t="shared" ca="1" si="15"/>
        <v>361.17180000000002</v>
      </c>
      <c r="Z138" s="118">
        <f t="shared" ca="1" si="20"/>
        <v>0.11005500000000001</v>
      </c>
      <c r="AA138" s="204">
        <f t="shared" ca="1" si="21"/>
        <v>39.748762449000004</v>
      </c>
      <c r="AC138" s="209">
        <f t="shared" ca="1" si="22"/>
        <v>6.7525000000000002E-2</v>
      </c>
      <c r="AD138" s="118">
        <f t="shared" ca="1" si="23"/>
        <v>0</v>
      </c>
      <c r="AE138" s="118">
        <f t="shared" ca="1" si="24"/>
        <v>6.7525000000000002E-2</v>
      </c>
      <c r="AF138" s="118">
        <f t="shared" ca="1" si="16"/>
        <v>0.49463835616438345</v>
      </c>
      <c r="AG138" s="118">
        <f t="shared" ca="1" si="17"/>
        <v>593.38465999999983</v>
      </c>
      <c r="AH138" s="204">
        <f t="shared" ca="1" si="25"/>
        <v>40.06829916649999</v>
      </c>
      <c r="AI138" s="259"/>
    </row>
    <row r="139" spans="3:35" x14ac:dyDescent="0.2">
      <c r="C139" s="308"/>
      <c r="K139" s="311" t="s">
        <v>382</v>
      </c>
      <c r="L139" s="316" t="s">
        <v>383</v>
      </c>
      <c r="M139" s="317"/>
      <c r="N139" s="317">
        <f>rP2.LongTermFactor</f>
        <v>0.85</v>
      </c>
      <c r="O139" s="317"/>
      <c r="P139" s="266"/>
      <c r="Q139" s="266"/>
      <c r="S139" s="155"/>
      <c r="T139" s="238">
        <v>0.38</v>
      </c>
      <c r="U139" s="209">
        <f t="shared" ca="1" si="14"/>
        <v>370.9332</v>
      </c>
      <c r="V139" s="118">
        <f t="shared" ca="1" si="18"/>
        <v>0.10857</v>
      </c>
      <c r="W139" s="204">
        <f t="shared" ca="1" si="19"/>
        <v>40.272217523999998</v>
      </c>
      <c r="Y139" s="209">
        <f t="shared" ca="1" si="15"/>
        <v>370.9332</v>
      </c>
      <c r="Z139" s="118">
        <f t="shared" ca="1" si="20"/>
        <v>0.10857</v>
      </c>
      <c r="AA139" s="204">
        <f t="shared" ca="1" si="21"/>
        <v>40.272217523999998</v>
      </c>
      <c r="AC139" s="209">
        <f t="shared" ca="1" si="22"/>
        <v>6.9349999999999995E-2</v>
      </c>
      <c r="AD139" s="118">
        <f t="shared" ca="1" si="23"/>
        <v>0</v>
      </c>
      <c r="AE139" s="118">
        <f t="shared" ca="1" si="24"/>
        <v>6.9349999999999995E-2</v>
      </c>
      <c r="AF139" s="118">
        <f t="shared" ca="1" si="16"/>
        <v>0.48323835616438349</v>
      </c>
      <c r="AG139" s="118">
        <f t="shared" ca="1" si="17"/>
        <v>579.70883999999978</v>
      </c>
      <c r="AH139" s="204">
        <f t="shared" ca="1" si="25"/>
        <v>40.202808053999981</v>
      </c>
      <c r="AI139" s="259"/>
    </row>
    <row r="140" spans="3:35" ht="15.75" x14ac:dyDescent="0.2">
      <c r="C140" s="308">
        <v>8</v>
      </c>
      <c r="K140" s="170" t="s">
        <v>215</v>
      </c>
      <c r="L140" s="146" t="s">
        <v>43</v>
      </c>
      <c r="M140" s="295" t="str">
        <f ca="1">IF(rF1.CheckConcreteWall,"-",OFFSET(INDIRECT(rF1.BrickListNumber),MIN(rF1.BrickProductSelection*1,COUNTA(rF1.BrickList01)),rF1.ColumnPlacementFactor,1,1))</f>
        <v>-</v>
      </c>
      <c r="N140" s="295">
        <f ca="1">OFFSET(INDIRECT(rF1.BrickListNumber),MIN(rF1.BrickProductSelection*1,COUNTA(rF1.BrickList02)),rF1.ColumnPlacementFactor,1,1)</f>
        <v>5.8</v>
      </c>
      <c r="O140" s="295">
        <f ca="1">OFFSET(INDIRECT(rF1.BrickListNumber),MIN(rF1.BrickProductSelection*1,COUNTA(rF1.BrickList03)),rF1.ColumnPlacementFactor,1,1)</f>
        <v>5.8</v>
      </c>
      <c r="P140" s="146"/>
      <c r="Q140" s="146"/>
      <c r="R140" s="402"/>
      <c r="S140" s="155"/>
      <c r="T140" s="238">
        <v>0.39</v>
      </c>
      <c r="U140" s="209">
        <f t="shared" ca="1" si="14"/>
        <v>380.69459999999998</v>
      </c>
      <c r="V140" s="118">
        <f t="shared" ca="1" si="18"/>
        <v>0.10708500000000001</v>
      </c>
      <c r="W140" s="204">
        <f t="shared" ca="1" si="19"/>
        <v>40.766681241000001</v>
      </c>
      <c r="Y140" s="209">
        <f t="shared" ca="1" si="15"/>
        <v>380.69459999999998</v>
      </c>
      <c r="Z140" s="118">
        <f t="shared" ca="1" si="20"/>
        <v>0.10708500000000001</v>
      </c>
      <c r="AA140" s="204">
        <f t="shared" ca="1" si="21"/>
        <v>40.766681241000001</v>
      </c>
      <c r="AC140" s="209">
        <f t="shared" ca="1" si="22"/>
        <v>7.1175000000000002E-2</v>
      </c>
      <c r="AD140" s="118">
        <f t="shared" ca="1" si="23"/>
        <v>0</v>
      </c>
      <c r="AE140" s="118">
        <f t="shared" ca="1" si="24"/>
        <v>7.1175000000000002E-2</v>
      </c>
      <c r="AF140" s="118">
        <f t="shared" ca="1" si="16"/>
        <v>0.47183835616438341</v>
      </c>
      <c r="AG140" s="118">
        <f t="shared" ca="1" si="17"/>
        <v>566.03301999999974</v>
      </c>
      <c r="AH140" s="204">
        <f t="shared" ca="1" si="25"/>
        <v>40.287400198499981</v>
      </c>
      <c r="AI140" s="259"/>
    </row>
    <row r="141" spans="3:35" ht="15.75" x14ac:dyDescent="0.2">
      <c r="C141" s="313"/>
      <c r="K141" s="311" t="s">
        <v>274</v>
      </c>
      <c r="L141" s="266" t="s">
        <v>78</v>
      </c>
      <c r="M141" s="317"/>
      <c r="N141" s="317">
        <f ca="1">OFFSET(rD4.Knoten05,rF1.DesignSitSelection,1,1,1)</f>
        <v>1.5</v>
      </c>
      <c r="O141" s="317"/>
      <c r="P141" s="266"/>
      <c r="Q141" s="266"/>
      <c r="R141" s="402"/>
      <c r="S141" s="155"/>
      <c r="T141" s="238">
        <v>0.4</v>
      </c>
      <c r="U141" s="209">
        <f t="shared" ca="1" si="14"/>
        <v>390.45600000000002</v>
      </c>
      <c r="V141" s="118">
        <f t="shared" ca="1" si="18"/>
        <v>0.10560000000000001</v>
      </c>
      <c r="W141" s="204">
        <f t="shared" ca="1" si="19"/>
        <v>41.232153600000004</v>
      </c>
      <c r="Y141" s="209">
        <f t="shared" ca="1" si="15"/>
        <v>390.45600000000002</v>
      </c>
      <c r="Z141" s="118">
        <f t="shared" ca="1" si="20"/>
        <v>0.10560000000000001</v>
      </c>
      <c r="AA141" s="204">
        <f t="shared" ca="1" si="21"/>
        <v>41.232153600000004</v>
      </c>
      <c r="AC141" s="209">
        <f t="shared" ca="1" si="22"/>
        <v>7.2999999999999995E-2</v>
      </c>
      <c r="AD141" s="118">
        <f t="shared" ca="1" si="23"/>
        <v>0</v>
      </c>
      <c r="AE141" s="118">
        <f t="shared" ca="1" si="24"/>
        <v>7.2999999999999995E-2</v>
      </c>
      <c r="AF141" s="118">
        <f t="shared" ca="1" si="16"/>
        <v>0.46043835616438356</v>
      </c>
      <c r="AG141" s="118">
        <f t="shared" ca="1" si="17"/>
        <v>552.35719999999992</v>
      </c>
      <c r="AH141" s="204">
        <f t="shared" ca="1" si="25"/>
        <v>40.322075599999991</v>
      </c>
      <c r="AI141" s="259"/>
    </row>
    <row r="142" spans="3:35" x14ac:dyDescent="0.2">
      <c r="K142" s="142" t="s">
        <v>275</v>
      </c>
      <c r="L142" s="142"/>
      <c r="M142" s="143"/>
      <c r="N142" s="143"/>
      <c r="O142" s="143"/>
      <c r="P142" s="143"/>
      <c r="Q142" s="192"/>
      <c r="R142" s="402"/>
      <c r="S142" s="155"/>
      <c r="T142" s="238">
        <v>0.41</v>
      </c>
      <c r="U142" s="209">
        <f t="shared" ca="1" si="14"/>
        <v>400.2174</v>
      </c>
      <c r="V142" s="118">
        <f t="shared" ca="1" si="18"/>
        <v>0.10411500000000001</v>
      </c>
      <c r="W142" s="204">
        <f t="shared" ca="1" si="19"/>
        <v>41.668634601000008</v>
      </c>
      <c r="Y142" s="209">
        <f t="shared" ca="1" si="15"/>
        <v>400.2174</v>
      </c>
      <c r="Z142" s="118">
        <f t="shared" ca="1" si="20"/>
        <v>0.10411500000000001</v>
      </c>
      <c r="AA142" s="204">
        <f t="shared" ca="1" si="21"/>
        <v>41.668634601000008</v>
      </c>
      <c r="AC142" s="209">
        <f t="shared" ca="1" si="22"/>
        <v>7.4824999999999989E-2</v>
      </c>
      <c r="AD142" s="118">
        <f t="shared" ca="1" si="23"/>
        <v>0</v>
      </c>
      <c r="AE142" s="118">
        <f t="shared" ca="1" si="24"/>
        <v>7.4824999999999989E-2</v>
      </c>
      <c r="AF142" s="118">
        <f t="shared" ca="1" si="16"/>
        <v>0.44903835616438359</v>
      </c>
      <c r="AG142" s="118">
        <f t="shared" ca="1" si="17"/>
        <v>538.68137999999999</v>
      </c>
      <c r="AH142" s="204">
        <f t="shared" ca="1" si="25"/>
        <v>40.30683425849999</v>
      </c>
      <c r="AI142" s="259"/>
    </row>
    <row r="143" spans="3:35" x14ac:dyDescent="0.2">
      <c r="C143" s="194">
        <v>3</v>
      </c>
      <c r="K143" s="146" t="s">
        <v>216</v>
      </c>
      <c r="L143" s="146" t="s">
        <v>42</v>
      </c>
      <c r="M143" s="318">
        <f ca="1">IF(rF1.CheckFoundation,rF1.PlotFoundationWidth,IF(rF1.CheckConcreteWall,OFFSET(rL4.ConcWallThicknessHead,MIN(rF1.BrickProductSelection*1,COUNTA(rF1.BrickList01)),0,1,1),OFFSET(INDIRECT(rF1.BrickListNumber),MIN(rF1.BrickProductSelection*1,COUNTA(rF1.BrickList01)),rF1.ColumnPlacementFactor,1,1)/100))</f>
        <v>0.25</v>
      </c>
      <c r="N143" s="318">
        <f ca="1">OFFSET(INDIRECT(rF1.BrickListNumber),MIN(rF1.BrickProductSelection*1,COUNTA(rF1.BrickList02)),rF1.ColumnPlacementFactor,1,1)/100</f>
        <v>0.36499999999999999</v>
      </c>
      <c r="O143" s="318">
        <f ca="1">IF(rF1.CheckWallNotExisting=1,0,OFFSET(INDIRECT(rF1.BrickListNumber),MIN(rF1.BrickProductSelection*1,COUNTA(rF1.BrickList03)),rF1.ColumnPlacementFactor,1,1)/100)</f>
        <v>0.36499999999999999</v>
      </c>
      <c r="P143" s="319"/>
      <c r="Q143" s="319"/>
      <c r="R143" s="402"/>
      <c r="S143" s="155"/>
      <c r="T143" s="238">
        <v>0.42</v>
      </c>
      <c r="U143" s="209">
        <f t="shared" ca="1" si="14"/>
        <v>409.97879999999998</v>
      </c>
      <c r="V143" s="118">
        <f t="shared" ca="1" si="18"/>
        <v>0.10263</v>
      </c>
      <c r="W143" s="204">
        <f t="shared" ca="1" si="19"/>
        <v>42.076124243999999</v>
      </c>
      <c r="Y143" s="209">
        <f t="shared" ca="1" si="15"/>
        <v>409.97879999999998</v>
      </c>
      <c r="Z143" s="118">
        <f t="shared" ca="1" si="20"/>
        <v>0.10263</v>
      </c>
      <c r="AA143" s="204">
        <f t="shared" ca="1" si="21"/>
        <v>42.076124243999999</v>
      </c>
      <c r="AC143" s="209">
        <f t="shared" ca="1" si="22"/>
        <v>7.6649999999999996E-2</v>
      </c>
      <c r="AD143" s="118">
        <f t="shared" ca="1" si="23"/>
        <v>0</v>
      </c>
      <c r="AE143" s="118">
        <f t="shared" ca="1" si="24"/>
        <v>7.6649999999999996E-2</v>
      </c>
      <c r="AF143" s="118">
        <f t="shared" ca="1" si="16"/>
        <v>0.43763835616438351</v>
      </c>
      <c r="AG143" s="118">
        <f t="shared" ca="1" si="17"/>
        <v>525.00555999999995</v>
      </c>
      <c r="AH143" s="204">
        <f t="shared" ca="1" si="25"/>
        <v>40.241676173999991</v>
      </c>
      <c r="AI143" s="259"/>
    </row>
    <row r="144" spans="3:35" x14ac:dyDescent="0.2">
      <c r="C144" s="308"/>
      <c r="K144" s="266" t="s">
        <v>217</v>
      </c>
      <c r="L144" s="266" t="s">
        <v>2</v>
      </c>
      <c r="M144" s="320">
        <f>rF1.WallHeight</f>
        <v>3</v>
      </c>
      <c r="N144" s="320">
        <f>rF1.WallHeight</f>
        <v>3.4</v>
      </c>
      <c r="O144" s="320">
        <f>rF1.WallHeight</f>
        <v>3.4</v>
      </c>
      <c r="P144" s="309"/>
      <c r="Q144" s="309"/>
      <c r="S144" s="155"/>
      <c r="T144" s="238">
        <v>0.43</v>
      </c>
      <c r="U144" s="209">
        <f t="shared" ca="1" si="14"/>
        <v>419.74020000000002</v>
      </c>
      <c r="V144" s="118">
        <f t="shared" ca="1" si="18"/>
        <v>0.101145</v>
      </c>
      <c r="W144" s="204">
        <f t="shared" ca="1" si="19"/>
        <v>42.454622528999998</v>
      </c>
      <c r="Y144" s="209">
        <f t="shared" ca="1" si="15"/>
        <v>419.74020000000002</v>
      </c>
      <c r="Z144" s="118">
        <f t="shared" ca="1" si="20"/>
        <v>0.101145</v>
      </c>
      <c r="AA144" s="204">
        <f t="shared" ca="1" si="21"/>
        <v>42.454622528999998</v>
      </c>
      <c r="AC144" s="209">
        <f t="shared" ca="1" si="22"/>
        <v>7.8475000000000003E-2</v>
      </c>
      <c r="AD144" s="118">
        <f t="shared" ca="1" si="23"/>
        <v>0</v>
      </c>
      <c r="AE144" s="118">
        <f t="shared" ca="1" si="24"/>
        <v>7.8475000000000003E-2</v>
      </c>
      <c r="AF144" s="118">
        <f t="shared" ca="1" si="16"/>
        <v>0.42623835616438344</v>
      </c>
      <c r="AG144" s="118">
        <f t="shared" ca="1" si="17"/>
        <v>511.32973999999973</v>
      </c>
      <c r="AH144" s="204">
        <f t="shared" ca="1" si="25"/>
        <v>40.126601346499982</v>
      </c>
      <c r="AI144" s="259"/>
    </row>
    <row r="145" spans="3:35" x14ac:dyDescent="0.2">
      <c r="C145" s="308"/>
      <c r="G145" s="145">
        <f ca="1">rF1.WallLenght02/rF1.WallThickness02</f>
        <v>3.5616438356164384</v>
      </c>
      <c r="K145" s="146" t="s">
        <v>218</v>
      </c>
      <c r="L145" s="146" t="s">
        <v>85</v>
      </c>
      <c r="M145" s="318">
        <f>rF1.WallLenght</f>
        <v>5.4</v>
      </c>
      <c r="N145" s="318">
        <f>rF1.WallLenght</f>
        <v>1.3</v>
      </c>
      <c r="O145" s="318">
        <f>rF1.WallLenght</f>
        <v>1.3</v>
      </c>
      <c r="P145" s="319"/>
      <c r="Q145" s="319"/>
      <c r="R145" s="403"/>
      <c r="S145" s="155"/>
      <c r="T145" s="238">
        <v>0.44</v>
      </c>
      <c r="U145" s="209">
        <f t="shared" ca="1" si="14"/>
        <v>429.5016</v>
      </c>
      <c r="V145" s="118">
        <f t="shared" ca="1" si="18"/>
        <v>9.9660000000000012E-2</v>
      </c>
      <c r="W145" s="204">
        <f t="shared" ca="1" si="19"/>
        <v>42.804129456000005</v>
      </c>
      <c r="Y145" s="209">
        <f t="shared" ca="1" si="15"/>
        <v>429.5016</v>
      </c>
      <c r="Z145" s="118">
        <f t="shared" ca="1" si="20"/>
        <v>9.9660000000000012E-2</v>
      </c>
      <c r="AA145" s="204">
        <f t="shared" ca="1" si="21"/>
        <v>42.804129456000005</v>
      </c>
      <c r="AC145" s="209">
        <f t="shared" ca="1" si="22"/>
        <v>8.0299999999999996E-2</v>
      </c>
      <c r="AD145" s="118">
        <f t="shared" ca="1" si="23"/>
        <v>0</v>
      </c>
      <c r="AE145" s="118">
        <f t="shared" ca="1" si="24"/>
        <v>8.0299999999999996E-2</v>
      </c>
      <c r="AF145" s="118">
        <f t="shared" ca="1" si="16"/>
        <v>0.41483835616438347</v>
      </c>
      <c r="AG145" s="118">
        <f t="shared" ca="1" si="17"/>
        <v>497.65391999999986</v>
      </c>
      <c r="AH145" s="204">
        <f t="shared" ca="1" si="25"/>
        <v>39.961609775999989</v>
      </c>
      <c r="AI145" s="259"/>
    </row>
    <row r="146" spans="3:35" x14ac:dyDescent="0.2">
      <c r="C146" s="308"/>
      <c r="K146" s="266" t="s">
        <v>276</v>
      </c>
      <c r="L146" s="266" t="s">
        <v>114</v>
      </c>
      <c r="M146" s="321"/>
      <c r="N146" s="322">
        <f ca="1">rF1.WallThickness*rF1.WallLenght</f>
        <v>0.47449999999999998</v>
      </c>
      <c r="O146" s="321"/>
      <c r="P146" s="309"/>
      <c r="Q146" s="309"/>
      <c r="R146" s="403"/>
      <c r="S146" s="155"/>
      <c r="T146" s="238">
        <v>0.45</v>
      </c>
      <c r="U146" s="209">
        <f t="shared" ca="1" si="14"/>
        <v>439.26299999999998</v>
      </c>
      <c r="V146" s="118">
        <f t="shared" ca="1" si="18"/>
        <v>9.8175000000000012E-2</v>
      </c>
      <c r="W146" s="204">
        <f t="shared" ca="1" si="19"/>
        <v>43.124645025000007</v>
      </c>
      <c r="Y146" s="209">
        <f t="shared" ca="1" si="15"/>
        <v>439.26299999999998</v>
      </c>
      <c r="Z146" s="118">
        <f t="shared" ca="1" si="20"/>
        <v>9.8175000000000012E-2</v>
      </c>
      <c r="AA146" s="204">
        <f t="shared" ca="1" si="21"/>
        <v>43.124645025000007</v>
      </c>
      <c r="AC146" s="209">
        <f t="shared" ca="1" si="22"/>
        <v>8.2125000000000004E-2</v>
      </c>
      <c r="AD146" s="118">
        <f t="shared" ca="1" si="23"/>
        <v>0</v>
      </c>
      <c r="AE146" s="118">
        <f t="shared" ca="1" si="24"/>
        <v>8.2125000000000004E-2</v>
      </c>
      <c r="AF146" s="118">
        <f t="shared" ca="1" si="16"/>
        <v>0.4034383561643835</v>
      </c>
      <c r="AG146" s="118">
        <f t="shared" ca="1" si="17"/>
        <v>483.97809999999987</v>
      </c>
      <c r="AH146" s="204">
        <f t="shared" ca="1" si="25"/>
        <v>39.746701462499992</v>
      </c>
      <c r="AI146" s="259"/>
    </row>
    <row r="147" spans="3:35" x14ac:dyDescent="0.2">
      <c r="C147" s="308">
        <v>1</v>
      </c>
      <c r="G147" s="145">
        <f ca="1">IF(OR(AND(rF1.FixedVergesNumber=1,rF1.RatioLengthThick02&gt;rP1.MaximumLengthOneFixed),AND(rF1.FixedVergesNumber=2,rF1.RatioLengthThick02&gt;rP1.MaximumLengthTwoFixed)),0,rF1.FixedVergesNumber)</f>
        <v>0</v>
      </c>
      <c r="K147" s="146" t="s">
        <v>220</v>
      </c>
      <c r="L147" s="146"/>
      <c r="M147" s="310"/>
      <c r="N147" s="310">
        <f ca="1">OFFSET(rL1.FixedVergesHead,rF1.FixedVergesSelection02,rF1.ColumnPlacementFactor,1,1)</f>
        <v>0</v>
      </c>
      <c r="O147" s="411" t="str">
        <f ca="1">IF(rF1.FixedVergesNumber&lt;&gt;rF1.FixedVergesNumberSelection,IF(rF1.FixedVergesNumber=1,rP2.OutputOneFixedVergeNP,IF(rF1.FixedVergesNumber=2,rP2.OutputTwoFixedVergesNP,"")),"")</f>
        <v/>
      </c>
      <c r="P147" s="319"/>
      <c r="Q147" s="319"/>
      <c r="R147" s="403"/>
      <c r="S147" s="155"/>
      <c r="T147" s="238">
        <v>0.46</v>
      </c>
      <c r="U147" s="209">
        <f t="shared" ca="1" si="14"/>
        <v>449.02440000000001</v>
      </c>
      <c r="V147" s="118">
        <f t="shared" ca="1" si="18"/>
        <v>9.6690000000000012E-2</v>
      </c>
      <c r="W147" s="204">
        <f t="shared" ca="1" si="19"/>
        <v>43.416169236000009</v>
      </c>
      <c r="Y147" s="209">
        <f t="shared" ca="1" si="15"/>
        <v>449.02440000000001</v>
      </c>
      <c r="Z147" s="118">
        <f t="shared" ca="1" si="20"/>
        <v>9.6690000000000012E-2</v>
      </c>
      <c r="AA147" s="204">
        <f t="shared" ca="1" si="21"/>
        <v>43.416169236000009</v>
      </c>
      <c r="AC147" s="209">
        <f t="shared" ca="1" si="22"/>
        <v>8.3949999999999997E-2</v>
      </c>
      <c r="AD147" s="118">
        <f t="shared" ca="1" si="23"/>
        <v>0</v>
      </c>
      <c r="AE147" s="118">
        <f t="shared" ca="1" si="24"/>
        <v>8.3949999999999997E-2</v>
      </c>
      <c r="AF147" s="118">
        <f t="shared" ca="1" si="16"/>
        <v>0.39203835616438354</v>
      </c>
      <c r="AG147" s="118">
        <f t="shared" ca="1" si="17"/>
        <v>470.30228</v>
      </c>
      <c r="AH147" s="204">
        <f t="shared" ca="1" si="25"/>
        <v>39.481876405999998</v>
      </c>
      <c r="AI147" s="259"/>
    </row>
    <row r="148" spans="3:35" ht="15.75" x14ac:dyDescent="0.2">
      <c r="C148" s="308">
        <v>5</v>
      </c>
      <c r="K148" s="266" t="s">
        <v>393</v>
      </c>
      <c r="L148" s="266" t="s">
        <v>394</v>
      </c>
      <c r="M148" s="323"/>
      <c r="N148" s="324">
        <f ca="1">OFFSET(INDIRECT(rF1.BrickListNumber),MIN(rF1.BrickProductSelection*1,COUNTA(rF1.BrickList02)),rF1.ColumnPlacementFactor,1,1)</f>
        <v>249</v>
      </c>
      <c r="O148" s="323"/>
      <c r="P148" s="309"/>
      <c r="Q148" s="309"/>
      <c r="R148" s="403"/>
      <c r="S148" s="155"/>
      <c r="T148" s="238">
        <v>0.47</v>
      </c>
      <c r="U148" s="209">
        <f t="shared" ca="1" si="14"/>
        <v>458.78579999999999</v>
      </c>
      <c r="V148" s="118">
        <f t="shared" ca="1" si="18"/>
        <v>9.5205000000000012E-2</v>
      </c>
      <c r="W148" s="204">
        <f t="shared" ca="1" si="19"/>
        <v>43.678702089000005</v>
      </c>
      <c r="Y148" s="209">
        <f t="shared" ca="1" si="15"/>
        <v>458.78579999999999</v>
      </c>
      <c r="Z148" s="118">
        <f t="shared" ca="1" si="20"/>
        <v>9.5205000000000012E-2</v>
      </c>
      <c r="AA148" s="204">
        <f t="shared" ca="1" si="21"/>
        <v>43.678702089000005</v>
      </c>
      <c r="AC148" s="209">
        <f t="shared" ca="1" si="22"/>
        <v>8.577499999999999E-2</v>
      </c>
      <c r="AD148" s="118">
        <f t="shared" ca="1" si="23"/>
        <v>0</v>
      </c>
      <c r="AE148" s="118">
        <f t="shared" ca="1" si="24"/>
        <v>8.577499999999999E-2</v>
      </c>
      <c r="AF148" s="118">
        <f t="shared" ca="1" si="16"/>
        <v>0.38063835616438346</v>
      </c>
      <c r="AG148" s="118">
        <f t="shared" ca="1" si="17"/>
        <v>456.62645999999989</v>
      </c>
      <c r="AH148" s="204">
        <f t="shared" ca="1" si="25"/>
        <v>39.167134606499985</v>
      </c>
      <c r="AI148" s="259"/>
    </row>
    <row r="149" spans="3:35" ht="15.75" x14ac:dyDescent="0.2">
      <c r="C149" s="308">
        <v>4</v>
      </c>
      <c r="K149" s="146"/>
      <c r="L149" s="146" t="s">
        <v>395</v>
      </c>
      <c r="M149" s="310"/>
      <c r="N149" s="325">
        <f ca="1">OFFSET(INDIRECT(rF1.BrickListNumber),MIN(rF1.BrickProductSelection*1,COUNTA(rF1.BrickList02)),rF1.ColumnPlacementFactor,1,1)</f>
        <v>248</v>
      </c>
      <c r="O149" s="310"/>
      <c r="P149" s="319"/>
      <c r="Q149" s="319"/>
      <c r="R149" s="403"/>
      <c r="S149" s="155"/>
      <c r="T149" s="238">
        <v>0.48</v>
      </c>
      <c r="U149" s="209">
        <f t="shared" ca="1" si="14"/>
        <v>468.54719999999998</v>
      </c>
      <c r="V149" s="118">
        <f t="shared" ca="1" si="18"/>
        <v>9.3720000000000012E-2</v>
      </c>
      <c r="W149" s="204">
        <f t="shared" ca="1" si="19"/>
        <v>43.912243584000002</v>
      </c>
      <c r="Y149" s="209">
        <f t="shared" ca="1" si="15"/>
        <v>468.54719999999998</v>
      </c>
      <c r="Z149" s="118">
        <f t="shared" ca="1" si="20"/>
        <v>9.3720000000000012E-2</v>
      </c>
      <c r="AA149" s="204">
        <f t="shared" ca="1" si="21"/>
        <v>43.912243584000002</v>
      </c>
      <c r="AC149" s="209">
        <f t="shared" ca="1" si="22"/>
        <v>8.7599999999999997E-2</v>
      </c>
      <c r="AD149" s="118">
        <f t="shared" ca="1" si="23"/>
        <v>0</v>
      </c>
      <c r="AE149" s="118">
        <f t="shared" ca="1" si="24"/>
        <v>8.7599999999999997E-2</v>
      </c>
      <c r="AF149" s="118">
        <f t="shared" ca="1" si="16"/>
        <v>0.3692383561643835</v>
      </c>
      <c r="AG149" s="118">
        <f t="shared" ca="1" si="17"/>
        <v>442.95063999999985</v>
      </c>
      <c r="AH149" s="204">
        <f t="shared" ca="1" si="25"/>
        <v>38.802476063999983</v>
      </c>
      <c r="AI149" s="259"/>
    </row>
    <row r="150" spans="3:35" ht="15.75" x14ac:dyDescent="0.2">
      <c r="C150" s="308"/>
      <c r="G150" s="145">
        <f ca="1">ABS(((rF1.WallThickness02-rF1.BearingDepthTop02)/2+rF1.EccentricityShiftC5Top+rF1.EccentricitySlabTop+rF1.EccentricityWindTop)/rF1.WallThickness02)</f>
        <v>0.44714805921508149</v>
      </c>
      <c r="K150" s="266"/>
      <c r="L150" s="266" t="s">
        <v>465</v>
      </c>
      <c r="M150" s="323"/>
      <c r="N150" s="317">
        <f ca="1">rF1.BrickHeight02/rF1.BrickLength02</f>
        <v>1.0040322580645162</v>
      </c>
      <c r="O150" s="323"/>
      <c r="P150" s="309"/>
      <c r="Q150" s="309"/>
      <c r="R150" s="403"/>
      <c r="S150" s="155"/>
      <c r="T150" s="238">
        <v>0.49</v>
      </c>
      <c r="U150" s="209">
        <f t="shared" ca="1" si="14"/>
        <v>478.30860000000001</v>
      </c>
      <c r="V150" s="118">
        <f t="shared" ca="1" si="18"/>
        <v>9.2235000000000011E-2</v>
      </c>
      <c r="W150" s="204">
        <f t="shared" ca="1" si="19"/>
        <v>44.116793721000008</v>
      </c>
      <c r="Y150" s="209">
        <f t="shared" ca="1" si="15"/>
        <v>478.30860000000001</v>
      </c>
      <c r="Z150" s="118">
        <f t="shared" ca="1" si="20"/>
        <v>9.2235000000000011E-2</v>
      </c>
      <c r="AA150" s="204">
        <f t="shared" ca="1" si="21"/>
        <v>44.116793721000008</v>
      </c>
      <c r="AC150" s="209">
        <f t="shared" ca="1" si="22"/>
        <v>8.9424999999999991E-2</v>
      </c>
      <c r="AD150" s="118">
        <f t="shared" ca="1" si="23"/>
        <v>0</v>
      </c>
      <c r="AE150" s="118">
        <f t="shared" ca="1" si="24"/>
        <v>8.9424999999999991E-2</v>
      </c>
      <c r="AF150" s="118">
        <f t="shared" ca="1" si="16"/>
        <v>0.35783835616438342</v>
      </c>
      <c r="AG150" s="118">
        <f t="shared" ca="1" si="17"/>
        <v>429.27481999999981</v>
      </c>
      <c r="AH150" s="204">
        <f t="shared" ca="1" si="25"/>
        <v>38.387900778499976</v>
      </c>
      <c r="AI150" s="259"/>
    </row>
    <row r="151" spans="3:35" ht="15.75" x14ac:dyDescent="0.2">
      <c r="C151" s="308">
        <v>2</v>
      </c>
      <c r="E151" s="145">
        <f ca="1">INDEX(rL5.EccentricityFactor,MATCH(rF1.EccentricityFactor,rL5.EccentricityFactor,1))</f>
        <v>0.33333333333333331</v>
      </c>
      <c r="F151" s="145">
        <f ca="1">INDEX(rL5.EccentricityFactor,MATCH(rF1.EccentricityFactor,rL5.EccentricityFactor,1)+1)</f>
        <v>10</v>
      </c>
      <c r="G151" s="145">
        <f ca="1">MAX(INDEX(rL5.Rho_2,MATCH(rF1.EccentricityFactor,rL5.EccentricityFactor,1)),OFFSET(rL1.Wall01Head,rF1.WallBearingTopSelection02,rF1.ColumnPlacementFactor,1,1),OFFSET(rL1.Wall01Head,rF1.WallBearingBottomSelection02,rF1.ColumnPlacementFactor,1,1))</f>
        <v>1</v>
      </c>
      <c r="H151" s="145">
        <f ca="1">MAX(INDEX(rL5.Rho_2,MATCH(rF1.EccentricityFactor,rL5.EccentricityFactor,1)+1),OFFSET(rL1.Wall01Head,rF1.WallBearingTopSelection02,rF1.ColumnPlacementFactor,1,1),OFFSET(rL1.Wall01Head,rF1.WallBearingBottomSelection02,rF1.ColumnPlacementFactor,1,1))</f>
        <v>1</v>
      </c>
      <c r="K151" s="146" t="s">
        <v>277</v>
      </c>
      <c r="L151" s="146" t="s">
        <v>84</v>
      </c>
      <c r="M151" s="315"/>
      <c r="N151" s="326">
        <f ca="1">IF(OR(rF1.CheckWoodenSlab01,rF1.CheckWoodenSlab02),1,IF(OR(AND(rF1.WallThickness02&gt;=rP1.BucklingThickness,rF1.BearingDepthTopRelated&gt;=2/3),AND(rF1.WallThickness02&lt;rP1.BucklingThickness,rF1.BearingDepthTop02&gt;=rP1.BucklingBearingDepth)),IF(OR(rF1.FixedVergesNumberSelection=1,rF1.FixedVergesNumberSelection=2),MAX(OFFSET(rL1.Wall01Head,rF1.WallBearingTopSelection02,rF1.ColumnPlacementFactor,1,1),OFFSET(rL1.Wall01Head,rF1.WallBearingBottomSelection02,rF1.ColumnPlacementFactor,1,1)),rF1.BucklingInterpolY1+(rF1.BucklingInterpolY2-rF1.BucklingInterpolY1)/(rF1.BucklingInterpolX2-rF1.BucklingInterpolX1)*(rF1.EccentricityFactor-rF1.BucklingInterpolX1)),1))</f>
        <v>1</v>
      </c>
      <c r="O151" s="326"/>
      <c r="P151" s="218" t="str">
        <f ca="1">IF(AND(rF1.CheckWoodenSlab02=1,rF1.WallThickness02-rF1.DistanceTop02&lt;0.085),rP2.OutputBearingWoodenSlab01,IF(AND(rF1.CheckWoodenSlab02=1,rF1.DistanceTop02/rF1.WallThickness02&gt;1/3),rP2.OutputBearingWoodenSlab02,""))</f>
        <v/>
      </c>
      <c r="Q151" s="319"/>
      <c r="R151" s="403"/>
      <c r="S151" s="155"/>
      <c r="T151" s="238">
        <v>0.5</v>
      </c>
      <c r="U151" s="209">
        <f t="shared" ca="1" si="14"/>
        <v>488.07</v>
      </c>
      <c r="V151" s="118">
        <f t="shared" ca="1" si="18"/>
        <v>9.0750000000000011E-2</v>
      </c>
      <c r="W151" s="204">
        <f t="shared" ca="1" si="19"/>
        <v>44.292352500000007</v>
      </c>
      <c r="Y151" s="209">
        <f t="shared" ca="1" si="15"/>
        <v>488.07</v>
      </c>
      <c r="Z151" s="118">
        <f t="shared" ca="1" si="20"/>
        <v>9.0750000000000011E-2</v>
      </c>
      <c r="AA151" s="204">
        <f t="shared" ca="1" si="21"/>
        <v>44.292352500000007</v>
      </c>
      <c r="AC151" s="209">
        <f t="shared" ca="1" si="22"/>
        <v>9.1249999999999998E-2</v>
      </c>
      <c r="AD151" s="118">
        <f t="shared" ca="1" si="23"/>
        <v>0</v>
      </c>
      <c r="AE151" s="118">
        <f t="shared" ca="1" si="24"/>
        <v>9.1249999999999998E-2</v>
      </c>
      <c r="AF151" s="118">
        <f t="shared" ca="1" si="16"/>
        <v>0.34643835616438345</v>
      </c>
      <c r="AG151" s="118">
        <f t="shared" ca="1" si="17"/>
        <v>415.59899999999982</v>
      </c>
      <c r="AH151" s="204">
        <f t="shared" ca="1" si="25"/>
        <v>37.923408749999986</v>
      </c>
      <c r="AI151" s="259"/>
    </row>
    <row r="152" spans="3:35" ht="15.75" x14ac:dyDescent="0.2">
      <c r="C152" s="308"/>
      <c r="E152" s="145">
        <f ca="1">OFFSET(INDIRECT(OFFSET(rL5.OverlappingHead,rF1.OverlappingSelection,1,1,1)),0,MATCH(rF1.BrickHeightLenght,OFFSET(INDIRECT(OFFSET(rL5.OverlappingHead,rF1.OverlappingSelection,1,1,1)),0,1,1,4),1),1,1)</f>
        <v>0</v>
      </c>
      <c r="F152" s="145">
        <f ca="1">OFFSET(INDIRECT(OFFSET(rL5.OverlappingHead,rF1.OverlappingSelection,1,1,1)),0,MATCH(rF1.BrickHeightLenght,OFFSET(INDIRECT(OFFSET(rL5.OverlappingHead,rF1.OverlappingSelection,1,1,1)),0,1,1,4),1)+1,1,1)</f>
        <v>10</v>
      </c>
      <c r="G152" s="145">
        <f ca="1">OFFSET(INDIRECT(OFFSET(rL5.OverlappingHead,rF1.OverlappingSelection,1,1,1)),1,MATCH(rF1.BrickHeightLenght,OFFSET(INDIRECT(OFFSET(rL5.OverlappingHead,rF1.OverlappingSelection,1,1,1)),0,1,1,4),1),1,1)</f>
        <v>1</v>
      </c>
      <c r="H152" s="145">
        <f ca="1">OFFSET(INDIRECT(OFFSET(rL5.OverlappingHead,rF1.OverlappingSelection,1,1,1)),1,MATCH(rF1.BrickHeightLenght,OFFSET(INDIRECT(OFFSET(rL5.OverlappingHead,rF1.OverlappingSelection,1,1,1)),0,1,1,4),1)+1,1,1)</f>
        <v>1</v>
      </c>
      <c r="K152" s="266"/>
      <c r="L152" s="266" t="s">
        <v>124</v>
      </c>
      <c r="M152" s="317"/>
      <c r="N152" s="327" t="str">
        <f ca="1">IF(OR(rF1.CheckWoodenSlab01,rF1.CheckWoodenSlab02),"-",IF(rF1.FixedVergesNumberSelection=1,MAX(rF1.ReductionWallHeight02/(1+(rF1.BucklingCoeffAlpha03*rF1.ReductionWallHeight02*rF1.WallHeight/(3*rF1.WallLenght))^2),rP1.MinRho3),"-"))</f>
        <v>-</v>
      </c>
      <c r="O152" s="328" t="str">
        <f ca="1">IF(OR(rF1.CheckWoodenSlab01,rF1.CheckWoodenSlab02)," ",IF(rF1.FixedVergesNumberSelection=1,rF1.BucklingInterpolY1+(rF1.BucklingInterpolY2-rF1.BucklingInterpolY1)/(rF1.BucklingInterpolX2-rF1.BucklingInterpolX1)*(rF1.BrickHeightLenght-rF1.BucklingInterpolX1)," "))</f>
        <v xml:space="preserve"> </v>
      </c>
      <c r="P152" s="309"/>
      <c r="Q152" s="309"/>
      <c r="R152" s="403"/>
      <c r="S152" s="155"/>
      <c r="T152" s="238">
        <v>0.51</v>
      </c>
      <c r="U152" s="209">
        <f t="shared" ca="1" si="14"/>
        <v>497.83139999999997</v>
      </c>
      <c r="V152" s="118">
        <f t="shared" ca="1" si="18"/>
        <v>8.9265000000000011E-2</v>
      </c>
      <c r="W152" s="204">
        <f t="shared" ca="1" si="19"/>
        <v>44.438919921</v>
      </c>
      <c r="Y152" s="209">
        <f t="shared" ca="1" si="15"/>
        <v>497.83139999999997</v>
      </c>
      <c r="Z152" s="118">
        <f t="shared" ca="1" si="20"/>
        <v>8.9265000000000011E-2</v>
      </c>
      <c r="AA152" s="204">
        <f t="shared" ca="1" si="21"/>
        <v>44.438919921</v>
      </c>
      <c r="AC152" s="209">
        <f t="shared" ca="1" si="22"/>
        <v>9.3075000000000005E-2</v>
      </c>
      <c r="AD152" s="118">
        <f t="shared" ca="1" si="23"/>
        <v>0</v>
      </c>
      <c r="AE152" s="118">
        <f t="shared" ca="1" si="24"/>
        <v>9.3075000000000005E-2</v>
      </c>
      <c r="AF152" s="118">
        <f t="shared" ca="1" si="16"/>
        <v>0.33503835616438349</v>
      </c>
      <c r="AG152" s="118">
        <f t="shared" ca="1" si="17"/>
        <v>401.92317999999989</v>
      </c>
      <c r="AH152" s="204">
        <f t="shared" ca="1" si="25"/>
        <v>37.408999978499992</v>
      </c>
      <c r="AI152" s="259"/>
    </row>
    <row r="153" spans="3:35" ht="15.75" x14ac:dyDescent="0.2">
      <c r="C153" s="308"/>
      <c r="E153" s="145">
        <f ca="1">OFFSET(INDIRECT(OFFSET(rL5.OverlappingHead,rF1.OverlappingSelection,1,1,1)),0,MATCH(rF1.BrickHeightLenght,OFFSET(INDIRECT(OFFSET(rL5.OverlappingHead,rF1.OverlappingSelection,1,1,1)),0,1,1,4),1),1,1)</f>
        <v>0</v>
      </c>
      <c r="F153" s="145">
        <f ca="1">OFFSET(INDIRECT(OFFSET(rL5.OverlappingHead,rF1.OverlappingSelection,1,1,1)),0,MATCH(rF1.BrickHeightLenght,OFFSET(INDIRECT(OFFSET(rL5.OverlappingHead,rF1.OverlappingSelection,1,1,1)),0,1,1,4),1)+1,1,1)</f>
        <v>10</v>
      </c>
      <c r="G153" s="145">
        <f ca="1">OFFSET(INDIRECT(OFFSET(rL5.OverlappingHead,rF1.OverlappingSelection,1,1,1)),2,MATCH(rF1.BrickHeightLenght,OFFSET(INDIRECT(OFFSET(rL5.OverlappingHead,rF1.OverlappingSelection,1,1,1)),0,1,1,4),1),1,1)</f>
        <v>1</v>
      </c>
      <c r="H153" s="145">
        <f ca="1">OFFSET(INDIRECT(OFFSET(rL5.OverlappingHead,rF1.OverlappingSelection,1,1,1)),2,MATCH(rF1.BrickHeightLenght,OFFSET(INDIRECT(OFFSET(rL5.OverlappingHead,rF1.OverlappingSelection,1,1,1)),0,1,1,4),1)+1,1,1)</f>
        <v>1</v>
      </c>
      <c r="K153" s="146"/>
      <c r="L153" s="146" t="s">
        <v>125</v>
      </c>
      <c r="M153" s="315"/>
      <c r="N153" s="326" t="str">
        <f ca="1">IF(OR(rF1.CheckWoodenSlab01,rF1.CheckWoodenSlab02),"-",IF(rF1.FixedVergesNumberSelection=2,IF(rF1.BucklingCoeffAlpha04*rF1.WallHeight/rF1.WallLenght&lt;=1,rF1.ReductionWallHeight02/(1+(rF1.BucklingCoeffAlpha04*rF1.ReductionWallHeight02*rF1.WallHeight/rF1.WallLenght)^2),0.5*rF1.WallLenght/rF1.WallHeight),"-"))</f>
        <v>-</v>
      </c>
      <c r="O153" s="329" t="str">
        <f ca="1">IF(OR(rF1.CheckWoodenSlab01,rF1.CheckWoodenSlab02)," ",IF(rF1.FixedVergesNumberSelection=2,rF1.BucklingInterpolY1+(rF1.BucklingInterpolY2-rF1.BucklingInterpolY1)/(rF1.BucklingInterpolX2-rF1.BucklingInterpolX1)*(rF1.BrickHeightLenght-rF1.BucklingInterpolX1)," "))</f>
        <v xml:space="preserve"> </v>
      </c>
      <c r="P153" s="319"/>
      <c r="Q153" s="319"/>
      <c r="R153" s="403"/>
      <c r="S153" s="155"/>
      <c r="T153" s="238">
        <v>0.52</v>
      </c>
      <c r="U153" s="209">
        <f t="shared" ca="1" si="14"/>
        <v>507.59280000000001</v>
      </c>
      <c r="V153" s="118">
        <f t="shared" ca="1" si="18"/>
        <v>8.7779999999999997E-2</v>
      </c>
      <c r="W153" s="204">
        <f t="shared" ca="1" si="19"/>
        <v>44.556495984000001</v>
      </c>
      <c r="Y153" s="209">
        <f t="shared" ca="1" si="15"/>
        <v>507.59280000000001</v>
      </c>
      <c r="Z153" s="118">
        <f t="shared" ca="1" si="20"/>
        <v>8.7779999999999997E-2</v>
      </c>
      <c r="AA153" s="204">
        <f t="shared" ca="1" si="21"/>
        <v>44.556495984000001</v>
      </c>
      <c r="AC153" s="209">
        <f t="shared" ca="1" si="22"/>
        <v>9.4899999999999998E-2</v>
      </c>
      <c r="AD153" s="118">
        <f t="shared" ca="1" si="23"/>
        <v>0</v>
      </c>
      <c r="AE153" s="118">
        <f t="shared" ca="1" si="24"/>
        <v>9.4899999999999998E-2</v>
      </c>
      <c r="AF153" s="118">
        <f t="shared" ca="1" si="16"/>
        <v>0.32363835616438341</v>
      </c>
      <c r="AG153" s="118">
        <f t="shared" ca="1" si="17"/>
        <v>388.24735999999984</v>
      </c>
      <c r="AH153" s="204">
        <f t="shared" ca="1" si="25"/>
        <v>36.844674463999986</v>
      </c>
      <c r="AI153" s="259"/>
    </row>
    <row r="154" spans="3:35" ht="15.75" x14ac:dyDescent="0.2">
      <c r="C154" s="308"/>
      <c r="K154" s="266" t="s">
        <v>278</v>
      </c>
      <c r="L154" s="266" t="s">
        <v>71</v>
      </c>
      <c r="M154" s="330"/>
      <c r="N154" s="320">
        <f ca="1">rF1.WallHeight*MIN(rF1.ReductionWallHeight02,rF1.ReductionWallHeight03,rF1.ReductionWallHeight04)</f>
        <v>3.4</v>
      </c>
      <c r="O154" s="330"/>
      <c r="P154" s="309"/>
      <c r="Q154" s="309"/>
      <c r="R154" s="403"/>
      <c r="S154" s="155"/>
      <c r="T154" s="238">
        <v>0.53</v>
      </c>
      <c r="U154" s="209">
        <f t="shared" ca="1" si="14"/>
        <v>517.35419999999999</v>
      </c>
      <c r="V154" s="118">
        <f t="shared" ca="1" si="18"/>
        <v>8.6295000000000011E-2</v>
      </c>
      <c r="W154" s="204">
        <f t="shared" ca="1" si="19"/>
        <v>44.645080689000004</v>
      </c>
      <c r="Y154" s="209">
        <f t="shared" ca="1" si="15"/>
        <v>517.35419999999999</v>
      </c>
      <c r="Z154" s="118">
        <f t="shared" ca="1" si="20"/>
        <v>8.6295000000000011E-2</v>
      </c>
      <c r="AA154" s="204">
        <f t="shared" ca="1" si="21"/>
        <v>44.645080689000004</v>
      </c>
      <c r="AC154" s="209">
        <f t="shared" ca="1" si="22"/>
        <v>9.6725000000000005E-2</v>
      </c>
      <c r="AD154" s="118">
        <f t="shared" ca="1" si="23"/>
        <v>0</v>
      </c>
      <c r="AE154" s="118">
        <f t="shared" ca="1" si="24"/>
        <v>9.6725000000000005E-2</v>
      </c>
      <c r="AF154" s="118">
        <f t="shared" ca="1" si="16"/>
        <v>0.31223835616438345</v>
      </c>
      <c r="AG154" s="118">
        <f t="shared" ca="1" si="17"/>
        <v>374.5715399999998</v>
      </c>
      <c r="AH154" s="204">
        <f t="shared" ca="1" si="25"/>
        <v>36.230432206499984</v>
      </c>
      <c r="AI154" s="259"/>
    </row>
    <row r="155" spans="3:35" x14ac:dyDescent="0.2">
      <c r="C155" s="308"/>
      <c r="K155" s="183" t="s">
        <v>223</v>
      </c>
      <c r="L155" s="146"/>
      <c r="M155" s="318">
        <f ca="1">IF(OR(rF1.CheckFoundation,rF1.CheckBasePlate),0,rF1.WallThickness-rF1.BearingDepthTop)</f>
        <v>0</v>
      </c>
      <c r="N155" s="318">
        <f ca="1">rF1.WallThickness-rF1.BearingDepthTop02</f>
        <v>3.4999999999999976E-2</v>
      </c>
      <c r="O155" s="318"/>
      <c r="P155" s="319"/>
      <c r="Q155" s="319"/>
      <c r="R155" s="403"/>
      <c r="S155" s="155"/>
      <c r="T155" s="238">
        <v>0.54</v>
      </c>
      <c r="U155" s="209">
        <f t="shared" ca="1" si="14"/>
        <v>527.11559999999997</v>
      </c>
      <c r="V155" s="118">
        <f t="shared" ca="1" si="18"/>
        <v>8.4810000000000024E-2</v>
      </c>
      <c r="W155" s="204">
        <f t="shared" ca="1" si="19"/>
        <v>44.704674036000007</v>
      </c>
      <c r="Y155" s="209">
        <f t="shared" ca="1" si="15"/>
        <v>527.11559999999997</v>
      </c>
      <c r="Z155" s="118">
        <f t="shared" ca="1" si="20"/>
        <v>8.4810000000000024E-2</v>
      </c>
      <c r="AA155" s="204">
        <f t="shared" ca="1" si="21"/>
        <v>44.704674036000007</v>
      </c>
      <c r="AC155" s="209">
        <f t="shared" ca="1" si="22"/>
        <v>9.8549999999999999E-2</v>
      </c>
      <c r="AD155" s="118">
        <f t="shared" ca="1" si="23"/>
        <v>0</v>
      </c>
      <c r="AE155" s="118">
        <f t="shared" ca="1" si="24"/>
        <v>9.8549999999999999E-2</v>
      </c>
      <c r="AF155" s="118">
        <f t="shared" ca="1" si="16"/>
        <v>0.30083835616438337</v>
      </c>
      <c r="AG155" s="118">
        <f t="shared" ca="1" si="17"/>
        <v>360.89571999999976</v>
      </c>
      <c r="AH155" s="204">
        <f t="shared" ca="1" si="25"/>
        <v>35.566273205999977</v>
      </c>
      <c r="AI155" s="259"/>
    </row>
    <row r="156" spans="3:35" x14ac:dyDescent="0.2">
      <c r="C156" s="313"/>
      <c r="K156" s="331" t="s">
        <v>224</v>
      </c>
      <c r="L156" s="266"/>
      <c r="M156" s="320"/>
      <c r="N156" s="320">
        <f ca="1">rF1.WallThickness-rF1.BearingDepthBottom02</f>
        <v>3.4999999999999976E-2</v>
      </c>
      <c r="O156" s="320">
        <f ca="1">IF(rF1.CheckWallNotExisting,0,rF1.WallThickness-rF1.BearingDepthBottom)</f>
        <v>3.4999999999999976E-2</v>
      </c>
      <c r="P156" s="309"/>
      <c r="Q156" s="309"/>
      <c r="R156" s="403"/>
      <c r="S156" s="155"/>
      <c r="T156" s="238">
        <v>0.55000000000000004</v>
      </c>
      <c r="U156" s="209">
        <f t="shared" ca="1" si="14"/>
        <v>536.87700000000007</v>
      </c>
      <c r="V156" s="118">
        <f t="shared" ca="1" si="18"/>
        <v>8.3324999999999996E-2</v>
      </c>
      <c r="W156" s="204">
        <f t="shared" ca="1" si="19"/>
        <v>44.735276025000005</v>
      </c>
      <c r="Y156" s="209">
        <f t="shared" ca="1" si="15"/>
        <v>536.87700000000007</v>
      </c>
      <c r="Z156" s="118">
        <f t="shared" ca="1" si="20"/>
        <v>8.3324999999999996E-2</v>
      </c>
      <c r="AA156" s="204">
        <f t="shared" ca="1" si="21"/>
        <v>44.735276025000005</v>
      </c>
      <c r="AC156" s="209">
        <f t="shared" ca="1" si="22"/>
        <v>0.10037500000000001</v>
      </c>
      <c r="AD156" s="118">
        <f t="shared" ca="1" si="23"/>
        <v>0</v>
      </c>
      <c r="AE156" s="118">
        <f t="shared" ca="1" si="24"/>
        <v>0.10037500000000001</v>
      </c>
      <c r="AF156" s="118">
        <f t="shared" ca="1" si="16"/>
        <v>0.2894383561643834</v>
      </c>
      <c r="AG156" s="118">
        <f t="shared" ca="1" si="17"/>
        <v>347.21989999999977</v>
      </c>
      <c r="AH156" s="204">
        <f t="shared" ca="1" si="25"/>
        <v>34.85219746249998</v>
      </c>
      <c r="AI156" s="259"/>
    </row>
    <row r="157" spans="3:35" ht="15.75" x14ac:dyDescent="0.2">
      <c r="C157" s="179"/>
      <c r="K157" s="146" t="s">
        <v>490</v>
      </c>
      <c r="L157" s="146" t="s">
        <v>358</v>
      </c>
      <c r="M157" s="318">
        <f>rF1.BearingDepthTop</f>
        <v>0.25</v>
      </c>
      <c r="N157" s="318">
        <f>rF1.BearingDepthTop</f>
        <v>0.33</v>
      </c>
      <c r="O157" s="318"/>
      <c r="P157" s="319"/>
      <c r="Q157" s="319"/>
      <c r="R157" s="403"/>
      <c r="S157" s="155"/>
      <c r="T157" s="238">
        <v>0.56000000000000005</v>
      </c>
      <c r="U157" s="209">
        <f t="shared" ca="1" si="14"/>
        <v>546.63840000000005</v>
      </c>
      <c r="V157" s="118">
        <f t="shared" ca="1" si="18"/>
        <v>8.1839999999999996E-2</v>
      </c>
      <c r="W157" s="204">
        <f t="shared" ca="1" si="19"/>
        <v>44.736886656000003</v>
      </c>
      <c r="Y157" s="209">
        <f t="shared" ca="1" si="15"/>
        <v>546.63840000000005</v>
      </c>
      <c r="Z157" s="118">
        <f t="shared" ca="1" si="20"/>
        <v>8.1839999999999996E-2</v>
      </c>
      <c r="AA157" s="204">
        <f t="shared" ca="1" si="21"/>
        <v>44.736886656000003</v>
      </c>
      <c r="AC157" s="209">
        <f t="shared" ca="1" si="22"/>
        <v>0.10220000000000001</v>
      </c>
      <c r="AD157" s="118">
        <f t="shared" ca="1" si="23"/>
        <v>0</v>
      </c>
      <c r="AE157" s="118">
        <f t="shared" ca="1" si="24"/>
        <v>0.10220000000000001</v>
      </c>
      <c r="AF157" s="118">
        <f t="shared" ca="1" si="16"/>
        <v>0.27803835616438344</v>
      </c>
      <c r="AG157" s="118">
        <f t="shared" ca="1" si="17"/>
        <v>333.54407999999984</v>
      </c>
      <c r="AH157" s="204">
        <f t="shared" ca="1" si="25"/>
        <v>34.088204975999986</v>
      </c>
      <c r="AI157" s="259"/>
    </row>
    <row r="158" spans="3:35" ht="15.75" x14ac:dyDescent="0.2">
      <c r="C158" s="179"/>
      <c r="K158" s="266" t="s">
        <v>491</v>
      </c>
      <c r="L158" s="266" t="s">
        <v>359</v>
      </c>
      <c r="M158" s="320"/>
      <c r="N158" s="320">
        <f>rF1.BearingDepthBottom</f>
        <v>0.33</v>
      </c>
      <c r="O158" s="320">
        <f>rF1.BearingDepthBottom</f>
        <v>0.33</v>
      </c>
      <c r="P158" s="309"/>
      <c r="Q158" s="309"/>
      <c r="R158" s="403"/>
      <c r="S158" s="155"/>
      <c r="T158" s="238">
        <v>0.56999999999999995</v>
      </c>
      <c r="U158" s="209">
        <f t="shared" ca="1" si="14"/>
        <v>556.39979999999991</v>
      </c>
      <c r="V158" s="118">
        <f t="shared" ca="1" si="18"/>
        <v>8.0355000000000024E-2</v>
      </c>
      <c r="W158" s="204">
        <f t="shared" ca="1" si="19"/>
        <v>44.709505929000009</v>
      </c>
      <c r="Y158" s="209">
        <f t="shared" ca="1" si="15"/>
        <v>556.39979999999991</v>
      </c>
      <c r="Z158" s="118">
        <f t="shared" ca="1" si="20"/>
        <v>8.0355000000000024E-2</v>
      </c>
      <c r="AA158" s="204">
        <f t="shared" ca="1" si="21"/>
        <v>44.709505929000009</v>
      </c>
      <c r="AC158" s="209">
        <f t="shared" ca="1" si="22"/>
        <v>0.10402499999999999</v>
      </c>
      <c r="AD158" s="118">
        <f t="shared" ca="1" si="23"/>
        <v>0</v>
      </c>
      <c r="AE158" s="118">
        <f t="shared" ca="1" si="24"/>
        <v>0.10402499999999999</v>
      </c>
      <c r="AF158" s="118">
        <f t="shared" ca="1" si="16"/>
        <v>0.26663835616438358</v>
      </c>
      <c r="AG158" s="118">
        <f t="shared" ca="1" si="17"/>
        <v>319.86826000000002</v>
      </c>
      <c r="AH158" s="204">
        <f t="shared" ca="1" si="25"/>
        <v>33.274295746500002</v>
      </c>
      <c r="AI158" s="259"/>
    </row>
    <row r="159" spans="3:35" x14ac:dyDescent="0.2">
      <c r="K159" s="142" t="s">
        <v>279</v>
      </c>
      <c r="L159" s="142"/>
      <c r="M159" s="143"/>
      <c r="N159" s="143"/>
      <c r="O159" s="143"/>
      <c r="P159" s="143"/>
      <c r="Q159" s="192"/>
      <c r="R159" s="403"/>
      <c r="S159" s="155"/>
      <c r="T159" s="238">
        <v>0.57999999999999996</v>
      </c>
      <c r="U159" s="209">
        <f t="shared" ca="1" si="14"/>
        <v>566.16120000000001</v>
      </c>
      <c r="V159" s="118">
        <f t="shared" ca="1" si="18"/>
        <v>7.887000000000001E-2</v>
      </c>
      <c r="W159" s="204">
        <f t="shared" ca="1" si="19"/>
        <v>44.653133844000003</v>
      </c>
      <c r="Y159" s="209">
        <f t="shared" ca="1" si="15"/>
        <v>566.16120000000001</v>
      </c>
      <c r="Z159" s="118">
        <f t="shared" ca="1" si="20"/>
        <v>7.887000000000001E-2</v>
      </c>
      <c r="AA159" s="204">
        <f t="shared" ca="1" si="21"/>
        <v>44.653133844000003</v>
      </c>
      <c r="AC159" s="209">
        <f t="shared" ca="1" si="22"/>
        <v>0.10584999999999999</v>
      </c>
      <c r="AD159" s="118">
        <f t="shared" ca="1" si="23"/>
        <v>0</v>
      </c>
      <c r="AE159" s="118">
        <f t="shared" ca="1" si="24"/>
        <v>0.10584999999999999</v>
      </c>
      <c r="AF159" s="118">
        <f t="shared" ca="1" si="16"/>
        <v>0.25523835616438351</v>
      </c>
      <c r="AG159" s="118">
        <f t="shared" ca="1" si="17"/>
        <v>306.19243999999998</v>
      </c>
      <c r="AH159" s="204">
        <f t="shared" ca="1" si="25"/>
        <v>32.410469773999992</v>
      </c>
      <c r="AI159" s="259"/>
    </row>
    <row r="160" spans="3:35" x14ac:dyDescent="0.2">
      <c r="C160" s="194">
        <v>13</v>
      </c>
      <c r="K160" s="146" t="s">
        <v>280</v>
      </c>
      <c r="L160" s="146" t="s">
        <v>128</v>
      </c>
      <c r="M160" s="332">
        <f ca="1">IF(OR(rF1.CheckConcreteWall,rF1.CheckFoundation=1),rP1.ConcreteWeight*rF1.WallThickness,OFFSET(INDIRECT(rF1.BrickListNumber),MIN(rF1.BrickProductSelection*1,COUNTA(rF1.BrickList01)),rF1.ColumnPlacementFactor,1,1))</f>
        <v>625</v>
      </c>
      <c r="N160" s="332">
        <f ca="1">OFFSET(INDIRECT(rF1.BrickListNumber),MIN(rF1.BrickProductSelection*1,COUNTA(rF1.BrickList02)),rF1.ColumnPlacementFactor,1,1)</f>
        <v>360.25</v>
      </c>
      <c r="O160" s="332">
        <f ca="1">OFFSET(INDIRECT(rF1.BrickListNumber),MIN(rF1.BrickProductSelection*1,COUNTA(rF1.BrickList03)),rF1.ColumnPlacementFactor,1,1)</f>
        <v>360.25</v>
      </c>
      <c r="P160" s="319"/>
      <c r="Q160" s="319"/>
      <c r="R160" s="403"/>
      <c r="S160" s="155"/>
      <c r="T160" s="238">
        <v>0.59</v>
      </c>
      <c r="U160" s="209">
        <f t="shared" ca="1" si="14"/>
        <v>575.92259999999999</v>
      </c>
      <c r="V160" s="118">
        <f t="shared" ca="1" si="18"/>
        <v>7.7385000000000009E-2</v>
      </c>
      <c r="W160" s="204">
        <f t="shared" ca="1" si="19"/>
        <v>44.567770401000004</v>
      </c>
      <c r="Y160" s="209">
        <f t="shared" ca="1" si="15"/>
        <v>575.92259999999999</v>
      </c>
      <c r="Z160" s="118">
        <f t="shared" ca="1" si="20"/>
        <v>7.7385000000000009E-2</v>
      </c>
      <c r="AA160" s="204">
        <f t="shared" ca="1" si="21"/>
        <v>44.567770401000004</v>
      </c>
      <c r="AC160" s="209">
        <f t="shared" ca="1" si="22"/>
        <v>0.10767499999999999</v>
      </c>
      <c r="AD160" s="118">
        <f t="shared" ca="1" si="23"/>
        <v>0</v>
      </c>
      <c r="AE160" s="118">
        <f t="shared" ca="1" si="24"/>
        <v>0.10767499999999999</v>
      </c>
      <c r="AF160" s="118">
        <f t="shared" ca="1" si="16"/>
        <v>0.24383835616438351</v>
      </c>
      <c r="AG160" s="118">
        <f t="shared" ca="1" si="17"/>
        <v>292.51661999999988</v>
      </c>
      <c r="AH160" s="204">
        <f t="shared" ca="1" si="25"/>
        <v>31.496727058499985</v>
      </c>
      <c r="AI160" s="259"/>
    </row>
    <row r="161" spans="3:35" ht="15.75" x14ac:dyDescent="0.2">
      <c r="C161" s="308">
        <v>1</v>
      </c>
      <c r="K161" s="331" t="s">
        <v>504</v>
      </c>
      <c r="L161" s="266" t="s">
        <v>506</v>
      </c>
      <c r="M161" s="309"/>
      <c r="N161" s="309">
        <f ca="1">IF(OR(rF1.CheckBendingMomentSlabTop,rF1.CheckBendingMomentSlabBottom),rP1.StiffnessFactorHinged,OFFSET(rL1.Wall02Head,rF1.WallBearingTopSelection,rF1.ColumnPlacementFactor,1,1))</f>
        <v>4</v>
      </c>
      <c r="O161" s="309">
        <f ca="1">OFFSET(rL1.Wall03Head,rF1.WallBearingTopSelection,rF1.ColumnPlacementFactor,1,1)</f>
        <v>4</v>
      </c>
      <c r="P161" s="309"/>
      <c r="Q161" s="309"/>
      <c r="S161" s="155"/>
      <c r="T161" s="238">
        <v>0.6</v>
      </c>
      <c r="U161" s="209">
        <f t="shared" ca="1" si="14"/>
        <v>585.68399999999997</v>
      </c>
      <c r="V161" s="118">
        <f t="shared" ca="1" si="18"/>
        <v>7.5900000000000009E-2</v>
      </c>
      <c r="W161" s="204">
        <f t="shared" ca="1" si="19"/>
        <v>44.4534156</v>
      </c>
      <c r="Y161" s="209">
        <f t="shared" ca="1" si="15"/>
        <v>585.68399999999997</v>
      </c>
      <c r="Z161" s="118">
        <f t="shared" ca="1" si="20"/>
        <v>7.5900000000000009E-2</v>
      </c>
      <c r="AA161" s="204">
        <f t="shared" ca="1" si="21"/>
        <v>44.4534156</v>
      </c>
      <c r="AC161" s="209">
        <f t="shared" ca="1" si="22"/>
        <v>0.1095</v>
      </c>
      <c r="AD161" s="118">
        <f t="shared" ca="1" si="23"/>
        <v>0</v>
      </c>
      <c r="AE161" s="118">
        <f t="shared" ca="1" si="24"/>
        <v>0.1095</v>
      </c>
      <c r="AF161" s="118">
        <f t="shared" ca="1" si="16"/>
        <v>0.23243835616438349</v>
      </c>
      <c r="AG161" s="118">
        <f t="shared" ca="1" si="17"/>
        <v>278.84079999999989</v>
      </c>
      <c r="AH161" s="204">
        <f t="shared" ca="1" si="25"/>
        <v>30.533067599999988</v>
      </c>
      <c r="AI161" s="259"/>
    </row>
    <row r="162" spans="3:35" ht="15.75" x14ac:dyDescent="0.2">
      <c r="C162" s="308">
        <v>1</v>
      </c>
      <c r="K162" s="183" t="s">
        <v>505</v>
      </c>
      <c r="L162" s="146" t="s">
        <v>507</v>
      </c>
      <c r="M162" s="319">
        <f ca="1">IF(rF1.CheckFoundation,"Inf.",OFFSET(rL1.Wall01Head,rF1.WallBearingBottomSelection,rF1.ColumnPlacementFactor,1,1))</f>
        <v>4</v>
      </c>
      <c r="N162" s="319">
        <f ca="1">IF(rF1.CheckBendingMomentSlabBottom,rP1.StiffnessFactorHinged,OFFSET(rL1.Wall02Head,rF1.WallBearingBottomSelection,rF1.ColumnPlacementFactor,1,1))</f>
        <v>4</v>
      </c>
      <c r="O162" s="319"/>
      <c r="P162" s="319"/>
      <c r="Q162" s="319"/>
      <c r="R162" s="403"/>
      <c r="S162" s="155"/>
      <c r="T162" s="238">
        <v>0.61</v>
      </c>
      <c r="U162" s="209">
        <f t="shared" ca="1" si="14"/>
        <v>595.44539999999995</v>
      </c>
      <c r="V162" s="118">
        <f t="shared" ca="1" si="18"/>
        <v>7.4415000000000023E-2</v>
      </c>
      <c r="W162" s="204">
        <f t="shared" ca="1" si="19"/>
        <v>44.31006944100001</v>
      </c>
      <c r="Y162" s="209">
        <f t="shared" ca="1" si="15"/>
        <v>595.44539999999995</v>
      </c>
      <c r="Z162" s="118">
        <f t="shared" ca="1" si="20"/>
        <v>7.4415000000000023E-2</v>
      </c>
      <c r="AA162" s="204">
        <f t="shared" ca="1" si="21"/>
        <v>44.31006944100001</v>
      </c>
      <c r="AC162" s="209">
        <f t="shared" ca="1" si="22"/>
        <v>0.11132499999999999</v>
      </c>
      <c r="AD162" s="118">
        <f t="shared" ca="1" si="23"/>
        <v>0</v>
      </c>
      <c r="AE162" s="118">
        <f t="shared" ca="1" si="24"/>
        <v>0.11132499999999999</v>
      </c>
      <c r="AF162" s="118">
        <f t="shared" ca="1" si="16"/>
        <v>0.22103835616438353</v>
      </c>
      <c r="AG162" s="118">
        <f t="shared" ca="1" si="17"/>
        <v>265.16497999999996</v>
      </c>
      <c r="AH162" s="204">
        <f t="shared" ca="1" si="25"/>
        <v>29.519491398499994</v>
      </c>
      <c r="AI162" s="259"/>
    </row>
    <row r="163" spans="3:35" ht="15.75" x14ac:dyDescent="0.2">
      <c r="C163" s="308"/>
      <c r="K163" s="266" t="s">
        <v>282</v>
      </c>
      <c r="L163" s="266" t="s">
        <v>360</v>
      </c>
      <c r="M163" s="333">
        <f>rF1.WallLenght*rF1.BearingDepthTop^3/12</f>
        <v>7.0312500000000002E-3</v>
      </c>
      <c r="N163" s="333">
        <f>rF1.WallLenght*((rF1.BearingDepthTop02+rF1.BearingDepthBottom02)/2)^3/12</f>
        <v>3.8931750000000005E-3</v>
      </c>
      <c r="O163" s="333"/>
      <c r="P163" s="309"/>
      <c r="Q163" s="309"/>
      <c r="R163" s="403"/>
      <c r="S163" s="155"/>
      <c r="T163" s="238">
        <v>0.62</v>
      </c>
      <c r="U163" s="209">
        <f t="shared" ca="1" si="14"/>
        <v>605.20680000000004</v>
      </c>
      <c r="V163" s="118">
        <f t="shared" ca="1" si="18"/>
        <v>7.2929999999999995E-2</v>
      </c>
      <c r="W163" s="204">
        <f t="shared" ca="1" si="19"/>
        <v>44.137731924000001</v>
      </c>
      <c r="Y163" s="209">
        <f t="shared" ca="1" si="15"/>
        <v>605.20680000000004</v>
      </c>
      <c r="Z163" s="118">
        <f t="shared" ca="1" si="20"/>
        <v>7.2929999999999995E-2</v>
      </c>
      <c r="AA163" s="204">
        <f t="shared" ca="1" si="21"/>
        <v>44.137731924000001</v>
      </c>
      <c r="AC163" s="209">
        <f t="shared" ca="1" si="22"/>
        <v>0.11315</v>
      </c>
      <c r="AD163" s="118">
        <f t="shared" ca="1" si="23"/>
        <v>0</v>
      </c>
      <c r="AE163" s="118">
        <f t="shared" ca="1" si="24"/>
        <v>0.11315</v>
      </c>
      <c r="AF163" s="118">
        <f t="shared" ca="1" si="16"/>
        <v>0.2096383561643835</v>
      </c>
      <c r="AG163" s="118">
        <f t="shared" ca="1" si="17"/>
        <v>251.48915999999994</v>
      </c>
      <c r="AH163" s="204">
        <f t="shared" ca="1" si="25"/>
        <v>28.455998453999992</v>
      </c>
      <c r="AI163" s="259"/>
    </row>
    <row r="164" spans="3:35" ht="15.75" x14ac:dyDescent="0.2">
      <c r="C164" s="308"/>
      <c r="K164" s="146" t="s">
        <v>283</v>
      </c>
      <c r="L164" s="146" t="s">
        <v>361</v>
      </c>
      <c r="M164" s="334"/>
      <c r="N164" s="334">
        <f>rF1.WallLenght*((rF1.BearingDepthTop02+rF1.BearingDepthBottom02)/2)^3/12</f>
        <v>3.8931750000000005E-3</v>
      </c>
      <c r="O164" s="334">
        <f>rF1.WallLenght*rF1.BearingDepthBottom^3/12</f>
        <v>3.8931750000000005E-3</v>
      </c>
      <c r="P164" s="319"/>
      <c r="Q164" s="319"/>
      <c r="R164" s="403"/>
      <c r="S164" s="155"/>
      <c r="T164" s="238">
        <v>0.63</v>
      </c>
      <c r="U164" s="209">
        <f t="shared" ref="U164:U195" ca="1" si="26">IF(rF1.CheckWoodenSlabCalc,0,rF1.PlotAxForceFactor*rF1.PlotAxResistanceMaxTop)</f>
        <v>614.96820000000002</v>
      </c>
      <c r="V164" s="118">
        <f t="shared" ca="1" si="18"/>
        <v>7.1445000000000008E-2</v>
      </c>
      <c r="W164" s="204">
        <f t="shared" ca="1" si="19"/>
        <v>43.936403049000006</v>
      </c>
      <c r="Y164" s="209">
        <f t="shared" ref="Y164:Y195" ca="1" si="27">IF(rF1.CheckWoodenSlabCalc,0,rF1.PlotAxForceFactor*rF1.PlotAxResistanceMaxBottom)</f>
        <v>614.96820000000002</v>
      </c>
      <c r="Z164" s="118">
        <f t="shared" ca="1" si="20"/>
        <v>7.1445000000000008E-2</v>
      </c>
      <c r="AA164" s="204">
        <f t="shared" ca="1" si="21"/>
        <v>43.936403049000006</v>
      </c>
      <c r="AC164" s="209">
        <f t="shared" ca="1" si="22"/>
        <v>0.11497499999999999</v>
      </c>
      <c r="AD164" s="118">
        <f t="shared" ca="1" si="23"/>
        <v>0</v>
      </c>
      <c r="AE164" s="118">
        <f t="shared" ca="1" si="24"/>
        <v>0.11497499999999999</v>
      </c>
      <c r="AF164" s="118">
        <f t="shared" ref="AF164:AF195" ca="1" si="28">MIN(1.14*(1-2*rF1.PlotExcentricityTotalMiddle/rF1.WallThickness02)-0.024*rF1.WallHeightEffective/rF1.WallThickness02,1-2*rF1.PlotExcentricityTotalMiddle/rF1.WallThickness02)</f>
        <v>0.19823835616438348</v>
      </c>
      <c r="AG164" s="118">
        <f t="shared" ref="AG164:AG195" ca="1" si="29">IF(rF1.CheckWoodenSlabCalc,0,rF1.PlotReductionParameterMiddle*rF1.WallThickness02*rF1.ReductionMasonryStrenghtArea02*rF1.ReductionMasonryStrengthLongTerm*rF1.MasonryStrenghtChar02/rF1.SafetyFactorMaterial02*1000)</f>
        <v>237.81333999999987</v>
      </c>
      <c r="AH164" s="204">
        <f t="shared" ca="1" si="25"/>
        <v>27.342588766499983</v>
      </c>
      <c r="AI164" s="259"/>
    </row>
    <row r="165" spans="3:35" ht="15.75" x14ac:dyDescent="0.2">
      <c r="C165" s="308"/>
      <c r="K165" s="266" t="s">
        <v>284</v>
      </c>
      <c r="L165" s="266" t="s">
        <v>44</v>
      </c>
      <c r="M165" s="309" t="str">
        <f>IF(OR(rF1.CheckConcreteWall,rF1.CheckFoundation=1),"-",rP1.MasonryStiffnessFactor)</f>
        <v>-</v>
      </c>
      <c r="N165" s="309">
        <f>rP1.MasonryStiffnessFactor</f>
        <v>1100</v>
      </c>
      <c r="O165" s="309">
        <f>rP1.MasonryStiffnessFactor</f>
        <v>1100</v>
      </c>
      <c r="P165" s="309"/>
      <c r="Q165" s="309"/>
      <c r="R165" s="403"/>
      <c r="S165" s="155"/>
      <c r="T165" s="238">
        <v>0.64</v>
      </c>
      <c r="U165" s="209">
        <f t="shared" ca="1" si="26"/>
        <v>624.7296</v>
      </c>
      <c r="V165" s="118">
        <f t="shared" ref="V165:V201" ca="1" si="30">rF1.PlotWallThicknessNettoTop/2-rF1.PlotAxForceTop*rF1.SafetyFactorMaterial02/(1000*2*rF1.MasonryStrenghtChar02*rF1.ReductionMasonryStrenghtArea02*rF1.ReductionMasonryStrengthLongTerm)</f>
        <v>6.9960000000000008E-2</v>
      </c>
      <c r="W165" s="204">
        <f t="shared" ref="W165:W196" ca="1" si="31">rF1.PlotAxForceTop*rF1.PlotExcentricityTop</f>
        <v>43.706082816000006</v>
      </c>
      <c r="Y165" s="209">
        <f t="shared" ca="1" si="27"/>
        <v>624.7296</v>
      </c>
      <c r="Z165" s="118">
        <f t="shared" ref="Z165:Z201" ca="1" si="32">rF1.PlotWallThicknessNettoBottom/2-rF1.PlotAxForceBottom*rF1.SafetyFactorMaterial02/(1000*2*rF1.MasonryStrenghtChar02*rF1.ReductionMasonryStrenghtArea02*rF1.ReductionMasonryStrengthLongTerm)</f>
        <v>6.9960000000000008E-2</v>
      </c>
      <c r="AA165" s="204">
        <f t="shared" ref="AA165:AA196" ca="1" si="33">rF1.PlotAxForceBottom*rF1.PlotExcentricityBottom</f>
        <v>43.706082816000006</v>
      </c>
      <c r="AC165" s="209">
        <f t="shared" ref="AC165:AC201" ca="1" si="34">rF1.PlotAxForceFactor*rF1.PlotExcentricityLoadMax</f>
        <v>0.1168</v>
      </c>
      <c r="AD165" s="118">
        <f t="shared" ref="AD165:AD196" ca="1" si="35">IF(rF1.WallSlenderness02&lt;=rP1.MaxSlendernessCreepEcc,0,0.002*rP1.CreepCoefficient*rF1.WallHeightBuckling/rF1.WallHeight02*SQRT(rF1.WallHeight02*rF1.PlotExcentricityLoadMiddle))</f>
        <v>0</v>
      </c>
      <c r="AE165" s="118">
        <f t="shared" ref="AE165:AE196" ca="1" si="36">MAX(rF1.PlotExcentricityCreepMiddle+rF1.PlotExcentricityLoadMiddle,0.05*rF1.WallThickness02)</f>
        <v>0.1168</v>
      </c>
      <c r="AF165" s="118">
        <f t="shared" ca="1" si="28"/>
        <v>0.18683835616438346</v>
      </c>
      <c r="AG165" s="118">
        <f t="shared" ca="1" si="29"/>
        <v>224.13751999999988</v>
      </c>
      <c r="AH165" s="204">
        <f t="shared" ref="AH165:AH196" ca="1" si="37">rF1.PlotExcentricityTotalMiddle*rF1.PlotAxForceMiddle</f>
        <v>26.179262335999987</v>
      </c>
      <c r="AI165" s="259"/>
    </row>
    <row r="166" spans="3:35" ht="15.75" x14ac:dyDescent="0.2">
      <c r="C166" s="308"/>
      <c r="K166" s="146" t="s">
        <v>285</v>
      </c>
      <c r="L166" s="335" t="s">
        <v>46</v>
      </c>
      <c r="M166" s="336"/>
      <c r="N166" s="336">
        <f>rP1.CreepCoefficient</f>
        <v>1</v>
      </c>
      <c r="O166" s="336"/>
      <c r="P166" s="319"/>
      <c r="Q166" s="319"/>
      <c r="R166" s="403"/>
      <c r="S166" s="155"/>
      <c r="T166" s="238">
        <v>0.65</v>
      </c>
      <c r="U166" s="209">
        <f t="shared" ca="1" si="26"/>
        <v>634.49099999999999</v>
      </c>
      <c r="V166" s="118">
        <f t="shared" ca="1" si="30"/>
        <v>6.8475000000000008E-2</v>
      </c>
      <c r="W166" s="204">
        <f t="shared" ca="1" si="31"/>
        <v>43.446771225000006</v>
      </c>
      <c r="Y166" s="209">
        <f t="shared" ca="1" si="27"/>
        <v>634.49099999999999</v>
      </c>
      <c r="Z166" s="118">
        <f t="shared" ca="1" si="32"/>
        <v>6.8475000000000008E-2</v>
      </c>
      <c r="AA166" s="204">
        <f t="shared" ca="1" si="33"/>
        <v>43.446771225000006</v>
      </c>
      <c r="AC166" s="209">
        <f t="shared" ca="1" si="34"/>
        <v>0.11862499999999999</v>
      </c>
      <c r="AD166" s="118">
        <f t="shared" ca="1" si="35"/>
        <v>0</v>
      </c>
      <c r="AE166" s="118">
        <f t="shared" ca="1" si="36"/>
        <v>0.11862499999999999</v>
      </c>
      <c r="AF166" s="118">
        <f t="shared" ca="1" si="28"/>
        <v>0.1754383561643835</v>
      </c>
      <c r="AG166" s="118">
        <f t="shared" ca="1" si="29"/>
        <v>210.46169999999995</v>
      </c>
      <c r="AH166" s="204">
        <f t="shared" ca="1" si="37"/>
        <v>24.966019162499993</v>
      </c>
      <c r="AI166" s="259"/>
    </row>
    <row r="167" spans="3:35" x14ac:dyDescent="0.2">
      <c r="C167" s="308">
        <v>4</v>
      </c>
      <c r="K167" s="266" t="s">
        <v>286</v>
      </c>
      <c r="L167" s="266" t="s">
        <v>47</v>
      </c>
      <c r="M167" s="337">
        <f ca="1">IF(rF1.CheckFoundation,"Inf.",IF(rF1.CheckConcreteWall,OFFSET(rD3.Knoten,MIN(rF1.ConcreteFillSelection*1,COUNTA(rF1.ConcreteFillList01)),rF1.ColumnPlacementFactor,1,1),rF1.MasonryStrenghtChar*rF1.MasonryStiffnessFactor))</f>
        <v>31000</v>
      </c>
      <c r="N167" s="337">
        <f ca="1">rF1.MasonryStrenghtChar*rF1.MasonryStiffnessFactor</f>
        <v>6380</v>
      </c>
      <c r="O167" s="337">
        <f ca="1">IF(rF1.CheckWallNotExisting=1,0,rF1.MasonryStrenghtChar*rF1.MasonryStiffnessFactor)</f>
        <v>6380</v>
      </c>
      <c r="P167" s="309"/>
      <c r="Q167" s="309"/>
      <c r="R167" s="403"/>
      <c r="S167" s="155"/>
      <c r="T167" s="238">
        <v>0.66</v>
      </c>
      <c r="U167" s="209">
        <f t="shared" ca="1" si="26"/>
        <v>644.25239999999997</v>
      </c>
      <c r="V167" s="118">
        <f t="shared" ca="1" si="30"/>
        <v>6.6990000000000008E-2</v>
      </c>
      <c r="W167" s="204">
        <f t="shared" ca="1" si="31"/>
        <v>43.158468276000001</v>
      </c>
      <c r="Y167" s="209">
        <f t="shared" ca="1" si="27"/>
        <v>644.25239999999997</v>
      </c>
      <c r="Z167" s="118">
        <f t="shared" ca="1" si="32"/>
        <v>6.6990000000000008E-2</v>
      </c>
      <c r="AA167" s="204">
        <f t="shared" ca="1" si="33"/>
        <v>43.158468276000001</v>
      </c>
      <c r="AC167" s="209">
        <f t="shared" ca="1" si="34"/>
        <v>0.12045</v>
      </c>
      <c r="AD167" s="118">
        <f t="shared" ca="1" si="35"/>
        <v>0</v>
      </c>
      <c r="AE167" s="118">
        <f t="shared" ca="1" si="36"/>
        <v>0.12045</v>
      </c>
      <c r="AF167" s="118">
        <f t="shared" ca="1" si="28"/>
        <v>0.16403835616438348</v>
      </c>
      <c r="AG167" s="118">
        <f t="shared" ca="1" si="29"/>
        <v>196.78587999999988</v>
      </c>
      <c r="AH167" s="204">
        <f t="shared" ca="1" si="37"/>
        <v>23.702859245999985</v>
      </c>
      <c r="AI167" s="259"/>
    </row>
    <row r="168" spans="3:35" ht="15.75" x14ac:dyDescent="0.2">
      <c r="C168" s="308"/>
      <c r="E168" s="145">
        <f ca="1">IF(rF1.WallStiffnessTop01="Inf.",9.99999999999999E+23,rF1.WallStiffnessTop01)</f>
        <v>290625</v>
      </c>
      <c r="K168" s="146" t="s">
        <v>287</v>
      </c>
      <c r="L168" s="146" t="s">
        <v>362</v>
      </c>
      <c r="M168" s="338">
        <f ca="1">IF(OR(rF1.WallBearingBottom="Inf.",rF1.MasonryElasticity="Inf."),"Inf.",rF1.WallBearingBottom*rF1.MasonryElasticity*1000*rF1.InertiaTop/rF1.WallHeight)</f>
        <v>290625</v>
      </c>
      <c r="N168" s="338">
        <f ca="1">IF(rF1.CheckBendingMomentSlabTop,0,rF1.WallBearingBottom*rF1.MasonryElasticity*1000*rF1.InertiaTop/rF1.WallHeight)</f>
        <v>29221.713529411769</v>
      </c>
      <c r="O168" s="338"/>
      <c r="P168" s="319"/>
      <c r="Q168" s="319"/>
      <c r="R168" s="403"/>
      <c r="S168" s="155"/>
      <c r="T168" s="238">
        <v>0.67</v>
      </c>
      <c r="U168" s="209">
        <f t="shared" ca="1" si="26"/>
        <v>654.01380000000006</v>
      </c>
      <c r="V168" s="118">
        <f t="shared" ca="1" si="30"/>
        <v>6.5505000000000008E-2</v>
      </c>
      <c r="W168" s="204">
        <f t="shared" ca="1" si="31"/>
        <v>42.84117396900001</v>
      </c>
      <c r="Y168" s="209">
        <f t="shared" ca="1" si="27"/>
        <v>654.01380000000006</v>
      </c>
      <c r="Z168" s="118">
        <f t="shared" ca="1" si="32"/>
        <v>6.5505000000000008E-2</v>
      </c>
      <c r="AA168" s="204">
        <f t="shared" ca="1" si="33"/>
        <v>42.84117396900001</v>
      </c>
      <c r="AC168" s="209">
        <f t="shared" ca="1" si="34"/>
        <v>0.12227500000000001</v>
      </c>
      <c r="AD168" s="118">
        <f t="shared" ca="1" si="35"/>
        <v>0</v>
      </c>
      <c r="AE168" s="118">
        <f t="shared" ca="1" si="36"/>
        <v>0.12227500000000001</v>
      </c>
      <c r="AF168" s="118">
        <f t="shared" ca="1" si="28"/>
        <v>0.15263835616438345</v>
      </c>
      <c r="AG168" s="118">
        <f t="shared" ca="1" si="29"/>
        <v>183.11005999999986</v>
      </c>
      <c r="AH168" s="204">
        <f t="shared" ca="1" si="37"/>
        <v>22.389782586499983</v>
      </c>
      <c r="AI168" s="259"/>
    </row>
    <row r="169" spans="3:35" ht="15.75" x14ac:dyDescent="0.2">
      <c r="C169" s="308"/>
      <c r="G169" s="145">
        <f ca="1">IF(rF1.WallStiffnessBottom03="Inf.",9.99999999999999E+23,rF1.WallStiffnessBottom03)</f>
        <v>29221.713529411769</v>
      </c>
      <c r="K169" s="266" t="s">
        <v>288</v>
      </c>
      <c r="L169" s="266" t="s">
        <v>363</v>
      </c>
      <c r="M169" s="339"/>
      <c r="N169" s="339">
        <f ca="1">IF(rF1.CheckBendingMomentSlabBottom,0,rF1.WallBearingTop*rF1.MasonryElasticity*1000*rF1.InertiaBottom/rF1.WallHeight)</f>
        <v>29221.713529411769</v>
      </c>
      <c r="O169" s="339">
        <f ca="1">IF(rF1.WallBearingTop="Inf.","Inf.",rF1.WallBearingTop*rF1.MasonryElasticity*1000*rF1.InertiaBottom/rF1.WallHeight)</f>
        <v>29221.713529411769</v>
      </c>
      <c r="P169" s="309"/>
      <c r="Q169" s="309"/>
      <c r="R169" s="403"/>
      <c r="S169" s="155"/>
      <c r="T169" s="238">
        <v>0.68</v>
      </c>
      <c r="U169" s="209">
        <f t="shared" ca="1" si="26"/>
        <v>663.77520000000004</v>
      </c>
      <c r="V169" s="118">
        <f t="shared" ca="1" si="30"/>
        <v>6.4020000000000007E-2</v>
      </c>
      <c r="W169" s="204">
        <f t="shared" ca="1" si="31"/>
        <v>42.494888304000007</v>
      </c>
      <c r="Y169" s="209">
        <f t="shared" ca="1" si="27"/>
        <v>663.77520000000004</v>
      </c>
      <c r="Z169" s="118">
        <f t="shared" ca="1" si="32"/>
        <v>6.4020000000000007E-2</v>
      </c>
      <c r="AA169" s="204">
        <f t="shared" ca="1" si="33"/>
        <v>42.494888304000007</v>
      </c>
      <c r="AC169" s="209">
        <f t="shared" ca="1" si="34"/>
        <v>0.1241</v>
      </c>
      <c r="AD169" s="118">
        <f t="shared" ca="1" si="35"/>
        <v>0</v>
      </c>
      <c r="AE169" s="118">
        <f t="shared" ca="1" si="36"/>
        <v>0.1241</v>
      </c>
      <c r="AF169" s="118">
        <f t="shared" ca="1" si="28"/>
        <v>0.14123835616438343</v>
      </c>
      <c r="AG169" s="118">
        <f t="shared" ca="1" si="29"/>
        <v>169.43423999999985</v>
      </c>
      <c r="AH169" s="204">
        <f t="shared" ca="1" si="37"/>
        <v>21.026789183999981</v>
      </c>
      <c r="AI169" s="259"/>
    </row>
    <row r="170" spans="3:35" ht="15.75" x14ac:dyDescent="0.2">
      <c r="C170" s="313"/>
      <c r="K170" s="146" t="s">
        <v>289</v>
      </c>
      <c r="L170" s="146" t="s">
        <v>48</v>
      </c>
      <c r="M170" s="315"/>
      <c r="N170" s="326">
        <f ca="1">rF1.WallHeightEffective/rF1.WallThickness</f>
        <v>9.3150684931506849</v>
      </c>
      <c r="O170" s="315"/>
      <c r="P170" s="340" t="str">
        <f>rP2.OutputWallSlenderness&amp;" "&amp;rP1.MaxSlendernessWall</f>
        <v>Schlankheit &gt; 27</v>
      </c>
      <c r="Q170" s="319"/>
      <c r="R170" s="403"/>
      <c r="S170" s="155"/>
      <c r="T170" s="238">
        <v>0.69</v>
      </c>
      <c r="U170" s="209">
        <f t="shared" ca="1" si="26"/>
        <v>673.53659999999991</v>
      </c>
      <c r="V170" s="118">
        <f t="shared" ca="1" si="30"/>
        <v>6.2535000000000021E-2</v>
      </c>
      <c r="W170" s="204">
        <f t="shared" ca="1" si="31"/>
        <v>42.119611281000012</v>
      </c>
      <c r="Y170" s="209">
        <f t="shared" ca="1" si="27"/>
        <v>673.53659999999991</v>
      </c>
      <c r="Z170" s="118">
        <f t="shared" ca="1" si="32"/>
        <v>6.2535000000000021E-2</v>
      </c>
      <c r="AA170" s="204">
        <f t="shared" ca="1" si="33"/>
        <v>42.119611281000012</v>
      </c>
      <c r="AC170" s="209">
        <f t="shared" ca="1" si="34"/>
        <v>0.12592499999999998</v>
      </c>
      <c r="AD170" s="118">
        <f t="shared" ca="1" si="35"/>
        <v>0</v>
      </c>
      <c r="AE170" s="118">
        <f t="shared" ca="1" si="36"/>
        <v>0.12592499999999998</v>
      </c>
      <c r="AF170" s="118">
        <f t="shared" ca="1" si="28"/>
        <v>0.12983835616438358</v>
      </c>
      <c r="AG170" s="118">
        <f t="shared" ca="1" si="29"/>
        <v>155.75842</v>
      </c>
      <c r="AH170" s="204">
        <f t="shared" ca="1" si="37"/>
        <v>19.613879038499999</v>
      </c>
      <c r="AI170" s="259"/>
    </row>
    <row r="171" spans="3:35" x14ac:dyDescent="0.2">
      <c r="K171" s="142" t="s">
        <v>290</v>
      </c>
      <c r="L171" s="142"/>
      <c r="M171" s="143" t="s">
        <v>255</v>
      </c>
      <c r="N171" s="143" t="s">
        <v>256</v>
      </c>
      <c r="O171" s="143" t="s">
        <v>257</v>
      </c>
      <c r="P171" s="143" t="s">
        <v>258</v>
      </c>
      <c r="Q171" s="192"/>
      <c r="R171" s="403"/>
      <c r="S171" s="155"/>
      <c r="T171" s="238">
        <v>0.7</v>
      </c>
      <c r="U171" s="209">
        <f t="shared" ca="1" si="26"/>
        <v>683.298</v>
      </c>
      <c r="V171" s="118">
        <f t="shared" ca="1" si="30"/>
        <v>6.1049999999999993E-2</v>
      </c>
      <c r="W171" s="204">
        <f t="shared" ca="1" si="31"/>
        <v>41.715342899999996</v>
      </c>
      <c r="Y171" s="209">
        <f t="shared" ca="1" si="27"/>
        <v>683.298</v>
      </c>
      <c r="Z171" s="118">
        <f t="shared" ca="1" si="32"/>
        <v>6.1049999999999993E-2</v>
      </c>
      <c r="AA171" s="204">
        <f t="shared" ca="1" si="33"/>
        <v>41.715342899999996</v>
      </c>
      <c r="AC171" s="209">
        <f t="shared" ca="1" si="34"/>
        <v>0.12775</v>
      </c>
      <c r="AD171" s="118">
        <f t="shared" ca="1" si="35"/>
        <v>0</v>
      </c>
      <c r="AE171" s="118">
        <f t="shared" ca="1" si="36"/>
        <v>0.12775</v>
      </c>
      <c r="AF171" s="118">
        <f t="shared" ca="1" si="28"/>
        <v>0.11843835616438345</v>
      </c>
      <c r="AG171" s="118">
        <f t="shared" ca="1" si="29"/>
        <v>142.08259999999984</v>
      </c>
      <c r="AH171" s="204">
        <f t="shared" ca="1" si="37"/>
        <v>18.15105214999998</v>
      </c>
      <c r="AI171" s="259"/>
    </row>
    <row r="172" spans="3:35" x14ac:dyDescent="0.2">
      <c r="C172" s="194">
        <v>0</v>
      </c>
      <c r="K172" s="146" t="s">
        <v>226</v>
      </c>
      <c r="L172" s="146"/>
      <c r="M172" s="341" t="str">
        <f ca="1">OFFSET(rL1.Slab01Head,rF1.SlabTypeSelection,rF1.ColumnPlacementFactor,1,1)</f>
        <v>zweiachsig gespannte Stahlbetondecke</v>
      </c>
      <c r="N172" s="341" t="str">
        <f ca="1">OFFSET(rL1.Slab02Head,rF1.SlabTypeSelection,rF1.ColumnPlacementFactor,1,1)</f>
        <v>zweiachsig gespannte Stahlbetondecke</v>
      </c>
      <c r="O172" s="341" t="str">
        <f ca="1">OFFSET(rF1.Slab03List,MIN(rF1.SlabTypeSelection*1,COUNTA(rF1.Slab03List))-1,rF1.ColumnPlacementFactor,1,1)</f>
        <v>nicht vorhanden</v>
      </c>
      <c r="P172" s="341" t="str">
        <f ca="1">OFFSET(rF1.Slab04List,MIN(rF1.SlabTypeSelection*1,COUNTA(rF1.Slab04List))-1,rF1.ColumnPlacementFactor,1,1)</f>
        <v>nicht vorhanden</v>
      </c>
      <c r="Q172" s="319"/>
      <c r="R172" s="403"/>
      <c r="S172" s="155"/>
      <c r="T172" s="238">
        <v>0.71</v>
      </c>
      <c r="U172" s="209">
        <f t="shared" ca="1" si="26"/>
        <v>693.05939999999998</v>
      </c>
      <c r="V172" s="118">
        <f t="shared" ca="1" si="30"/>
        <v>5.9565000000000021E-2</v>
      </c>
      <c r="W172" s="204">
        <f t="shared" ca="1" si="31"/>
        <v>41.28208316100001</v>
      </c>
      <c r="Y172" s="209">
        <f t="shared" ca="1" si="27"/>
        <v>693.05939999999998</v>
      </c>
      <c r="Z172" s="118">
        <f t="shared" ca="1" si="32"/>
        <v>5.9565000000000021E-2</v>
      </c>
      <c r="AA172" s="204">
        <f t="shared" ca="1" si="33"/>
        <v>41.28208316100001</v>
      </c>
      <c r="AC172" s="209">
        <f t="shared" ca="1" si="34"/>
        <v>0.129575</v>
      </c>
      <c r="AD172" s="118">
        <f t="shared" ca="1" si="35"/>
        <v>0</v>
      </c>
      <c r="AE172" s="118">
        <f t="shared" ca="1" si="36"/>
        <v>0.129575</v>
      </c>
      <c r="AF172" s="118">
        <f t="shared" ca="1" si="28"/>
        <v>0.10703835616438354</v>
      </c>
      <c r="AG172" s="118">
        <f t="shared" ca="1" si="29"/>
        <v>128.40677999999997</v>
      </c>
      <c r="AH172" s="204">
        <f t="shared" ca="1" si="37"/>
        <v>16.638308518499997</v>
      </c>
      <c r="AI172" s="259"/>
    </row>
    <row r="173" spans="3:35" x14ac:dyDescent="0.2">
      <c r="C173" s="308">
        <v>0</v>
      </c>
      <c r="K173" s="266" t="s">
        <v>219</v>
      </c>
      <c r="L173" s="266"/>
      <c r="M173" s="342" t="str">
        <f ca="1">IF(rF1.CheckWoodenSlab01,"-",OFFSET(rL1.SlabBearingHead,rF1.SlabBearingSelection,rF1.ColumnPlacementFactor,1,1))</f>
        <v>eingespannt</v>
      </c>
      <c r="N173" s="342" t="str">
        <f ca="1">IF(rF1.CheckWoodenSlab02,"-",OFFSET(rL1.SlabBearingHead,rF1.SlabBearingSelection,rF1.ColumnPlacementFactor,1,1))</f>
        <v>eingespannt</v>
      </c>
      <c r="O173" s="342" t="str">
        <f ca="1">IF(OR(rF1.CheckWoodenSlab03,rF1.SlabType=rP1.CheckWordCantilever),"-",OFFSET(rL1.SlabBearingHead,rF1.SlabBearingSelection,rF1.ColumnPlacementFactor,1,1))</f>
        <v>eingespannt</v>
      </c>
      <c r="P173" s="342" t="str">
        <f ca="1">IF(OR(rF1.CheckWoodenSlab04,rF1.SlabType=rP1.CheckWordCantilever),"-",OFFSET(rL1.SlabBearingHead,rF1.SlabBearingSelection,rF1.ColumnPlacementFactor,1,1))</f>
        <v>eingespannt</v>
      </c>
      <c r="Q173" s="309"/>
      <c r="S173" s="155"/>
      <c r="T173" s="238">
        <v>0.72</v>
      </c>
      <c r="U173" s="209">
        <f t="shared" ca="1" si="26"/>
        <v>702.82079999999996</v>
      </c>
      <c r="V173" s="118">
        <f t="shared" ca="1" si="30"/>
        <v>5.8080000000000007E-2</v>
      </c>
      <c r="W173" s="204">
        <f t="shared" ca="1" si="31"/>
        <v>40.819832064000003</v>
      </c>
      <c r="Y173" s="209">
        <f t="shared" ca="1" si="27"/>
        <v>702.82079999999996</v>
      </c>
      <c r="Z173" s="118">
        <f t="shared" ca="1" si="32"/>
        <v>5.8080000000000007E-2</v>
      </c>
      <c r="AA173" s="204">
        <f t="shared" ca="1" si="33"/>
        <v>40.819832064000003</v>
      </c>
      <c r="AC173" s="209">
        <f t="shared" ca="1" si="34"/>
        <v>0.13139999999999999</v>
      </c>
      <c r="AD173" s="118">
        <f t="shared" ca="1" si="35"/>
        <v>0</v>
      </c>
      <c r="AE173" s="118">
        <f t="shared" ca="1" si="36"/>
        <v>0.13139999999999999</v>
      </c>
      <c r="AF173" s="118">
        <f t="shared" ca="1" si="28"/>
        <v>9.5638356164383515E-2</v>
      </c>
      <c r="AG173" s="118">
        <f t="shared" ca="1" si="29"/>
        <v>114.73095999999994</v>
      </c>
      <c r="AH173" s="204">
        <f t="shared" ca="1" si="37"/>
        <v>15.07564814399999</v>
      </c>
      <c r="AI173" s="259"/>
    </row>
    <row r="174" spans="3:35" ht="15.75" x14ac:dyDescent="0.2">
      <c r="C174" s="308">
        <v>1</v>
      </c>
      <c r="K174" s="146" t="s">
        <v>281</v>
      </c>
      <c r="L174" s="146" t="s">
        <v>50</v>
      </c>
      <c r="M174" s="336">
        <f ca="1">IF(rF1.CheckWoodenSlab01,"-",IF(rF1.SlabType=rP1.CheckWordCantilever,rP1.StiffnessFactorBearingCantilever,OFFSET(rL1.SlabBearingHead,rF1.SlabBearingSelection,rF1.ColumnPlacementFactor,1,1)))</f>
        <v>4</v>
      </c>
      <c r="N174" s="336">
        <f ca="1">IF(rF1.CheckWoodenSlab02,"-",IF(rF1.SlabType=rP1.CheckWordCantilever,rP1.StiffnessFactorBearingCantilever,OFFSET(rL1.SlabBearingHead,rF1.SlabBearingSelection,rF1.ColumnPlacementFactor,1,1)))</f>
        <v>4</v>
      </c>
      <c r="O174" s="336">
        <f ca="1">IF(rF1.CheckWoodenSlab03,"-",IF(rF1.SlabType=rP1.CheckWordCantilever,rP1.StiffnessFactorBearingCantilever,OFFSET(rL1.SlabBearingHead,rF1.SlabBearingSelection,rF1.ColumnPlacementFactor,1,1)))</f>
        <v>4</v>
      </c>
      <c r="P174" s="336">
        <f ca="1">IF(rF1.CheckWoodenSlab04,"-",IF(rF1.SlabType=rP1.CheckWordCantilever,rP1.StiffnessFactorBearingCantilever,OFFSET(rL1.SlabBearingHead,rF1.SlabBearingSelection,rF1.ColumnPlacementFactor,1,1)))</f>
        <v>4</v>
      </c>
      <c r="Q174" s="336"/>
      <c r="R174" s="403"/>
      <c r="S174" s="155"/>
      <c r="T174" s="238">
        <v>0.73</v>
      </c>
      <c r="U174" s="209">
        <f t="shared" ca="1" si="26"/>
        <v>712.58219999999994</v>
      </c>
      <c r="V174" s="118">
        <f t="shared" ca="1" si="30"/>
        <v>5.6595000000000006E-2</v>
      </c>
      <c r="W174" s="204">
        <f t="shared" ca="1" si="31"/>
        <v>40.328589608999998</v>
      </c>
      <c r="Y174" s="209">
        <f t="shared" ca="1" si="27"/>
        <v>712.58219999999994</v>
      </c>
      <c r="Z174" s="118">
        <f t="shared" ca="1" si="32"/>
        <v>5.6595000000000006E-2</v>
      </c>
      <c r="AA174" s="204">
        <f t="shared" ca="1" si="33"/>
        <v>40.328589608999998</v>
      </c>
      <c r="AC174" s="209">
        <f t="shared" ca="1" si="34"/>
        <v>0.13322499999999998</v>
      </c>
      <c r="AD174" s="118">
        <f t="shared" ca="1" si="35"/>
        <v>0</v>
      </c>
      <c r="AE174" s="118">
        <f t="shared" ca="1" si="36"/>
        <v>0.13322499999999998</v>
      </c>
      <c r="AF174" s="118">
        <f t="shared" ca="1" si="28"/>
        <v>8.423835616438366E-2</v>
      </c>
      <c r="AG174" s="118">
        <f t="shared" ca="1" si="29"/>
        <v>101.05514000000009</v>
      </c>
      <c r="AH174" s="204">
        <f t="shared" ca="1" si="37"/>
        <v>13.46307102650001</v>
      </c>
      <c r="AI174" s="259"/>
    </row>
    <row r="175" spans="3:35" x14ac:dyDescent="0.2">
      <c r="C175" s="308">
        <v>1</v>
      </c>
      <c r="K175" s="266" t="s">
        <v>291</v>
      </c>
      <c r="L175" s="266"/>
      <c r="M175" s="343">
        <f ca="1">OFFSET(rL1.Slab01Head,rF1.SlabTypeSelection,rF1.ColumnPlacementFactor,1,1)</f>
        <v>1.5</v>
      </c>
      <c r="N175" s="343">
        <f ca="1">OFFSET(rL1.Slab02Head,rF1.SlabTypeSelection,rF1.ColumnPlacementFactor,1,1)</f>
        <v>1.5</v>
      </c>
      <c r="O175" s="343">
        <f ca="1">OFFSET(rL1.Slab03Head,rF1.SlabTypeSelection,rF1.ColumnPlacementFactor,1,1)</f>
        <v>0</v>
      </c>
      <c r="P175" s="343">
        <f ca="1">OFFSET(rL1.Slab04Head,rF1.SlabTypeSelection,rF1.ColumnPlacementFactor,1,1)</f>
        <v>0</v>
      </c>
      <c r="Q175" s="309"/>
      <c r="R175" s="403"/>
      <c r="S175" s="155"/>
      <c r="T175" s="238">
        <v>0.74</v>
      </c>
      <c r="U175" s="209">
        <f t="shared" ca="1" si="26"/>
        <v>722.34360000000004</v>
      </c>
      <c r="V175" s="118">
        <f t="shared" ca="1" si="30"/>
        <v>5.5110000000000006E-2</v>
      </c>
      <c r="W175" s="204">
        <f t="shared" ca="1" si="31"/>
        <v>39.808355796000008</v>
      </c>
      <c r="Y175" s="209">
        <f t="shared" ca="1" si="27"/>
        <v>722.34360000000004</v>
      </c>
      <c r="Z175" s="118">
        <f t="shared" ca="1" si="32"/>
        <v>5.5110000000000006E-2</v>
      </c>
      <c r="AA175" s="204">
        <f t="shared" ca="1" si="33"/>
        <v>39.808355796000008</v>
      </c>
      <c r="AC175" s="209">
        <f t="shared" ca="1" si="34"/>
        <v>0.13505</v>
      </c>
      <c r="AD175" s="118">
        <f t="shared" ca="1" si="35"/>
        <v>0</v>
      </c>
      <c r="AE175" s="118">
        <f t="shared" ca="1" si="36"/>
        <v>0.13505</v>
      </c>
      <c r="AF175" s="118">
        <f t="shared" ca="1" si="28"/>
        <v>7.2838356164383528E-2</v>
      </c>
      <c r="AG175" s="118">
        <f t="shared" ca="1" si="29"/>
        <v>87.379319999999964</v>
      </c>
      <c r="AH175" s="204">
        <f t="shared" ca="1" si="37"/>
        <v>11.800577165999995</v>
      </c>
      <c r="AI175" s="259"/>
    </row>
    <row r="176" spans="3:35" ht="15.75" x14ac:dyDescent="0.2">
      <c r="C176" s="308"/>
      <c r="K176" s="146" t="s">
        <v>227</v>
      </c>
      <c r="L176" s="146" t="s">
        <v>3</v>
      </c>
      <c r="M176" s="318">
        <f>rF1.SlabSpanPerpendicular</f>
        <v>5.85</v>
      </c>
      <c r="N176" s="318">
        <f>rF1.SlabSpanPerpendicular</f>
        <v>5.85</v>
      </c>
      <c r="O176" s="318">
        <f>rF1.SlabSpanPerpendicular</f>
        <v>5</v>
      </c>
      <c r="P176" s="318">
        <f>rF1.SlabSpanPerpendicular</f>
        <v>2.5</v>
      </c>
      <c r="Q176" s="319"/>
      <c r="R176" s="404"/>
      <c r="S176" s="155"/>
      <c r="T176" s="238">
        <v>0.75</v>
      </c>
      <c r="U176" s="209">
        <f t="shared" ca="1" si="26"/>
        <v>732.10500000000002</v>
      </c>
      <c r="V176" s="118">
        <f t="shared" ca="1" si="30"/>
        <v>5.3625000000000006E-2</v>
      </c>
      <c r="W176" s="204">
        <f t="shared" ca="1" si="31"/>
        <v>39.259130625000004</v>
      </c>
      <c r="Y176" s="209">
        <f t="shared" ca="1" si="27"/>
        <v>732.10500000000002</v>
      </c>
      <c r="Z176" s="118">
        <f t="shared" ca="1" si="32"/>
        <v>5.3625000000000006E-2</v>
      </c>
      <c r="AA176" s="204">
        <f t="shared" ca="1" si="33"/>
        <v>39.259130625000004</v>
      </c>
      <c r="AC176" s="209">
        <f t="shared" ca="1" si="34"/>
        <v>0.136875</v>
      </c>
      <c r="AD176" s="118">
        <f t="shared" ca="1" si="35"/>
        <v>0</v>
      </c>
      <c r="AE176" s="118">
        <f t="shared" ca="1" si="36"/>
        <v>0.136875</v>
      </c>
      <c r="AF176" s="118">
        <f t="shared" ca="1" si="28"/>
        <v>6.1438356164383506E-2</v>
      </c>
      <c r="AG176" s="118">
        <f t="shared" ca="1" si="29"/>
        <v>73.70349999999992</v>
      </c>
      <c r="AH176" s="204">
        <f t="shared" ca="1" si="37"/>
        <v>10.088166562499989</v>
      </c>
      <c r="AI176" s="259"/>
    </row>
    <row r="177" spans="3:35" ht="15.75" x14ac:dyDescent="0.2">
      <c r="C177" s="308"/>
      <c r="K177" s="266" t="s">
        <v>228</v>
      </c>
      <c r="L177" s="266" t="s">
        <v>4</v>
      </c>
      <c r="M177" s="320">
        <f>rF1.SlabSpanParallel</f>
        <v>5.4</v>
      </c>
      <c r="N177" s="320">
        <f>rF1.SlabSpanParallel</f>
        <v>5.4</v>
      </c>
      <c r="O177" s="320">
        <f>rF1.SlabSpanParallel</f>
        <v>10</v>
      </c>
      <c r="P177" s="320">
        <f>rF1.SlabSpanParallel</f>
        <v>10</v>
      </c>
      <c r="Q177" s="309"/>
      <c r="R177" s="403"/>
      <c r="S177" s="155"/>
      <c r="T177" s="238">
        <v>0.76</v>
      </c>
      <c r="U177" s="209">
        <f t="shared" ca="1" si="26"/>
        <v>741.8664</v>
      </c>
      <c r="V177" s="118">
        <f t="shared" ca="1" si="30"/>
        <v>5.2140000000000006E-2</v>
      </c>
      <c r="W177" s="204">
        <f t="shared" ca="1" si="31"/>
        <v>38.680914096000002</v>
      </c>
      <c r="Y177" s="209">
        <f t="shared" ca="1" si="27"/>
        <v>741.8664</v>
      </c>
      <c r="Z177" s="118">
        <f t="shared" ca="1" si="32"/>
        <v>5.2140000000000006E-2</v>
      </c>
      <c r="AA177" s="204">
        <f t="shared" ca="1" si="33"/>
        <v>38.680914096000002</v>
      </c>
      <c r="AC177" s="209">
        <f t="shared" ca="1" si="34"/>
        <v>0.13869999999999999</v>
      </c>
      <c r="AD177" s="118">
        <f t="shared" ca="1" si="35"/>
        <v>0</v>
      </c>
      <c r="AE177" s="118">
        <f t="shared" ca="1" si="36"/>
        <v>0.13869999999999999</v>
      </c>
      <c r="AF177" s="118">
        <f t="shared" ca="1" si="28"/>
        <v>5.0038356164383485E-2</v>
      </c>
      <c r="AG177" s="118">
        <f t="shared" ca="1" si="29"/>
        <v>60.027679999999897</v>
      </c>
      <c r="AH177" s="204">
        <f t="shared" ca="1" si="37"/>
        <v>8.3258392159999843</v>
      </c>
      <c r="AI177" s="259"/>
    </row>
    <row r="178" spans="3:35" x14ac:dyDescent="0.2">
      <c r="C178" s="308"/>
      <c r="K178" s="146" t="s">
        <v>229</v>
      </c>
      <c r="L178" s="146" t="s">
        <v>136</v>
      </c>
      <c r="M178" s="318">
        <f>rF1.SlabInfluenceWidth</f>
        <v>5.4</v>
      </c>
      <c r="N178" s="318">
        <f>rF1.SlabInfluenceWidth</f>
        <v>2.7</v>
      </c>
      <c r="O178" s="318">
        <f>rF1.SlabInfluenceWidth</f>
        <v>5.4</v>
      </c>
      <c r="P178" s="318">
        <f>rF1.SlabInfluenceWidth</f>
        <v>2.7</v>
      </c>
      <c r="Q178" s="319"/>
      <c r="R178" s="403"/>
      <c r="S178" s="155"/>
      <c r="T178" s="238">
        <v>0.77</v>
      </c>
      <c r="U178" s="209">
        <f t="shared" ca="1" si="26"/>
        <v>751.62779999999998</v>
      </c>
      <c r="V178" s="118">
        <f t="shared" ca="1" si="30"/>
        <v>5.0655000000000019E-2</v>
      </c>
      <c r="W178" s="204">
        <f t="shared" ca="1" si="31"/>
        <v>38.073706209000015</v>
      </c>
      <c r="Y178" s="209">
        <f t="shared" ca="1" si="27"/>
        <v>751.62779999999998</v>
      </c>
      <c r="Z178" s="118">
        <f t="shared" ca="1" si="32"/>
        <v>5.0655000000000019E-2</v>
      </c>
      <c r="AA178" s="204">
        <f t="shared" ca="1" si="33"/>
        <v>38.073706209000015</v>
      </c>
      <c r="AC178" s="209">
        <f t="shared" ca="1" si="34"/>
        <v>0.14052500000000001</v>
      </c>
      <c r="AD178" s="118">
        <f t="shared" ca="1" si="35"/>
        <v>0</v>
      </c>
      <c r="AE178" s="118">
        <f t="shared" ca="1" si="36"/>
        <v>0.14052500000000001</v>
      </c>
      <c r="AF178" s="118">
        <f t="shared" ca="1" si="28"/>
        <v>3.8638356164383353E-2</v>
      </c>
      <c r="AG178" s="118">
        <f t="shared" ca="1" si="29"/>
        <v>46.351859999999746</v>
      </c>
      <c r="AH178" s="204">
        <f t="shared" ca="1" si="37"/>
        <v>6.5135951264999647</v>
      </c>
      <c r="AI178" s="259"/>
    </row>
    <row r="179" spans="3:35" ht="15.75" x14ac:dyDescent="0.2">
      <c r="C179" s="308"/>
      <c r="K179" s="266" t="s">
        <v>230</v>
      </c>
      <c r="L179" s="266" t="s">
        <v>5</v>
      </c>
      <c r="M179" s="320">
        <f>rF1.SlabThickness</f>
        <v>0.22</v>
      </c>
      <c r="N179" s="320">
        <f>rF1.SlabThickness</f>
        <v>0.22</v>
      </c>
      <c r="O179" s="320">
        <f>rF1.SlabThickness</f>
        <v>0.25</v>
      </c>
      <c r="P179" s="320">
        <f>rF1.SlabThickness</f>
        <v>0.25</v>
      </c>
      <c r="Q179" s="309"/>
      <c r="R179" s="403"/>
      <c r="S179" s="155"/>
      <c r="T179" s="238">
        <v>0.78</v>
      </c>
      <c r="U179" s="209">
        <f t="shared" ca="1" si="26"/>
        <v>761.38919999999996</v>
      </c>
      <c r="V179" s="118">
        <f t="shared" ca="1" si="30"/>
        <v>4.9170000000000019E-2</v>
      </c>
      <c r="W179" s="204">
        <f t="shared" ca="1" si="31"/>
        <v>37.437506964000015</v>
      </c>
      <c r="Y179" s="209">
        <f t="shared" ca="1" si="27"/>
        <v>761.38919999999996</v>
      </c>
      <c r="Z179" s="118">
        <f t="shared" ca="1" si="32"/>
        <v>4.9170000000000019E-2</v>
      </c>
      <c r="AA179" s="204">
        <f t="shared" ca="1" si="33"/>
        <v>37.437506964000015</v>
      </c>
      <c r="AC179" s="209">
        <f t="shared" ca="1" si="34"/>
        <v>0.14235</v>
      </c>
      <c r="AD179" s="118">
        <f t="shared" ca="1" si="35"/>
        <v>0</v>
      </c>
      <c r="AE179" s="118">
        <f t="shared" ca="1" si="36"/>
        <v>0.14235</v>
      </c>
      <c r="AF179" s="118">
        <f t="shared" ca="1" si="28"/>
        <v>2.7238356164383498E-2</v>
      </c>
      <c r="AG179" s="118">
        <f t="shared" ca="1" si="29"/>
        <v>32.676039999999922</v>
      </c>
      <c r="AH179" s="204">
        <f t="shared" ca="1" si="37"/>
        <v>4.6514342939999889</v>
      </c>
      <c r="AI179" s="259"/>
    </row>
    <row r="180" spans="3:35" ht="15.75" x14ac:dyDescent="0.2">
      <c r="C180" s="308"/>
      <c r="K180" s="146" t="s">
        <v>292</v>
      </c>
      <c r="L180" s="146" t="s">
        <v>51</v>
      </c>
      <c r="M180" s="334">
        <f>rF1.SlabInfluenceWidth*rF1.SlabThickness^3/12</f>
        <v>4.7916E-3</v>
      </c>
      <c r="N180" s="334">
        <f>rF1.SlabInfluenceWidth*rF1.SlabThickness^3/12</f>
        <v>2.3958E-3</v>
      </c>
      <c r="O180" s="334">
        <f>rF1.SlabInfluenceWidth*rF1.SlabThickness^3/12</f>
        <v>7.0312500000000002E-3</v>
      </c>
      <c r="P180" s="334">
        <f>rF1.SlabInfluenceWidth*rF1.SlabThickness^3/12</f>
        <v>3.5156250000000001E-3</v>
      </c>
      <c r="Q180" s="319"/>
      <c r="R180" s="403"/>
      <c r="S180" s="155"/>
      <c r="T180" s="238">
        <v>0.79</v>
      </c>
      <c r="U180" s="209">
        <f t="shared" ca="1" si="26"/>
        <v>771.15060000000005</v>
      </c>
      <c r="V180" s="118">
        <f t="shared" ca="1" si="30"/>
        <v>4.7684999999999991E-2</v>
      </c>
      <c r="W180" s="204">
        <f t="shared" ca="1" si="31"/>
        <v>36.772316360999994</v>
      </c>
      <c r="Y180" s="209">
        <f t="shared" ca="1" si="27"/>
        <v>771.15060000000005</v>
      </c>
      <c r="Z180" s="118">
        <f t="shared" ca="1" si="32"/>
        <v>4.7684999999999991E-2</v>
      </c>
      <c r="AA180" s="204">
        <f t="shared" ca="1" si="33"/>
        <v>36.772316360999994</v>
      </c>
      <c r="AC180" s="209">
        <f t="shared" ca="1" si="34"/>
        <v>0.144175</v>
      </c>
      <c r="AD180" s="118">
        <f t="shared" ca="1" si="35"/>
        <v>0</v>
      </c>
      <c r="AE180" s="118">
        <f t="shared" ca="1" si="36"/>
        <v>0.144175</v>
      </c>
      <c r="AF180" s="118">
        <f t="shared" ca="1" si="28"/>
        <v>1.5838356164383477E-2</v>
      </c>
      <c r="AG180" s="118">
        <f t="shared" ca="1" si="29"/>
        <v>19.000219999999899</v>
      </c>
      <c r="AH180" s="204">
        <f t="shared" ca="1" si="37"/>
        <v>2.7393567184999856</v>
      </c>
      <c r="AI180" s="259"/>
    </row>
    <row r="181" spans="3:35" x14ac:dyDescent="0.2">
      <c r="C181" s="308">
        <v>0</v>
      </c>
      <c r="K181" s="266" t="s">
        <v>231</v>
      </c>
      <c r="L181" s="266"/>
      <c r="M181" s="342" t="str">
        <f ca="1">IF(rF1.CheckWoodenSlab01=1,"-",OFFSET(rD3.Knoten,rF1.ConcreteTypeSelection,rF1.ColumnPlacementFactor,1,1))</f>
        <v>C25/30</v>
      </c>
      <c r="N181" s="342" t="str">
        <f ca="1">IF(rF1.CheckWoodenSlab02=1,"-",OFFSET(rD3.Knoten,rF1.ConcreteTypeSelection,rF1.ColumnPlacementFactor,1,1))</f>
        <v>C20/25</v>
      </c>
      <c r="O181" s="342" t="str">
        <f ca="1">IF(rF1.CheckWoodenSlab03=1,"-",OFFSET(rD3.Knoten,rF1.ConcreteTypeSelection,rF1.ColumnPlacementFactor,1,1))</f>
        <v>C12/15</v>
      </c>
      <c r="P181" s="342" t="str">
        <f ca="1">IF(rF1.CheckWoodenSlab04=1,"-",OFFSET(rD3.Knoten,rF1.ConcreteTypeSelection,rF1.ColumnPlacementFactor,1,1))</f>
        <v>C20/25</v>
      </c>
      <c r="Q181" s="309"/>
      <c r="R181" s="403"/>
      <c r="S181" s="155"/>
      <c r="T181" s="238">
        <v>0.8</v>
      </c>
      <c r="U181" s="209">
        <f t="shared" ca="1" si="26"/>
        <v>780.91200000000003</v>
      </c>
      <c r="V181" s="118">
        <f t="shared" ca="1" si="30"/>
        <v>4.6200000000000019E-2</v>
      </c>
      <c r="W181" s="204">
        <f t="shared" ca="1" si="31"/>
        <v>36.078134400000017</v>
      </c>
      <c r="Y181" s="209">
        <f t="shared" ca="1" si="27"/>
        <v>780.91200000000003</v>
      </c>
      <c r="Z181" s="118">
        <f t="shared" ca="1" si="32"/>
        <v>4.6200000000000019E-2</v>
      </c>
      <c r="AA181" s="204">
        <f t="shared" ca="1" si="33"/>
        <v>36.078134400000017</v>
      </c>
      <c r="AC181" s="209">
        <f t="shared" ca="1" si="34"/>
        <v>0.14599999999999999</v>
      </c>
      <c r="AD181" s="118">
        <f t="shared" ca="1" si="35"/>
        <v>0</v>
      </c>
      <c r="AE181" s="118">
        <f t="shared" ca="1" si="36"/>
        <v>0.14599999999999999</v>
      </c>
      <c r="AF181" s="118">
        <f t="shared" ca="1" si="28"/>
        <v>4.4383561643835945E-3</v>
      </c>
      <c r="AG181" s="118">
        <f t="shared" ca="1" si="29"/>
        <v>5.324400000000038</v>
      </c>
      <c r="AH181" s="204">
        <f t="shared" ca="1" si="37"/>
        <v>0.77736240000000545</v>
      </c>
      <c r="AI181" s="259"/>
    </row>
    <row r="182" spans="3:35" ht="15.75" x14ac:dyDescent="0.2">
      <c r="C182" s="308">
        <v>4</v>
      </c>
      <c r="K182" s="146" t="s">
        <v>293</v>
      </c>
      <c r="L182" s="146" t="s">
        <v>52</v>
      </c>
      <c r="M182" s="344">
        <f ca="1">IF(rF1.CheckWoodenSlab01=1,"-",OFFSET(rD3.Knoten,rF1.ConcreteTypeSelection,rF1.ColumnPlacementFactor,1,1))</f>
        <v>31000</v>
      </c>
      <c r="N182" s="344">
        <f ca="1">IF(rF1.CheckWoodenSlab02=1,"-",OFFSET(rD3.Knoten,rF1.ConcreteTypeSelection,rF1.ColumnPlacementFactor,1,1))</f>
        <v>30000</v>
      </c>
      <c r="O182" s="344">
        <f ca="1">IF(rF1.CheckWoodenSlab03=1,"-",OFFSET(rD3.Knoten,rF1.ConcreteTypeSelection,rF1.ColumnPlacementFactor,1,1))</f>
        <v>27000</v>
      </c>
      <c r="P182" s="344">
        <f ca="1">IF(rF1.CheckWoodenSlab04=1,"-",OFFSET(rD3.Knoten,rF1.ConcreteTypeSelection,rF1.ColumnPlacementFactor,1,1))</f>
        <v>30000</v>
      </c>
      <c r="Q182" s="319"/>
      <c r="R182" s="403"/>
      <c r="S182" s="155"/>
      <c r="T182" s="238">
        <v>0.81</v>
      </c>
      <c r="U182" s="209">
        <f t="shared" ca="1" si="26"/>
        <v>790.67340000000002</v>
      </c>
      <c r="V182" s="118">
        <f t="shared" ca="1" si="30"/>
        <v>4.4715000000000005E-2</v>
      </c>
      <c r="W182" s="204">
        <f t="shared" ca="1" si="31"/>
        <v>35.354961081000006</v>
      </c>
      <c r="Y182" s="209">
        <f t="shared" ca="1" si="27"/>
        <v>790.67340000000002</v>
      </c>
      <c r="Z182" s="118">
        <f t="shared" ca="1" si="32"/>
        <v>4.4715000000000005E-2</v>
      </c>
      <c r="AA182" s="204">
        <f t="shared" ca="1" si="33"/>
        <v>35.354961081000006</v>
      </c>
      <c r="AC182" s="209">
        <f t="shared" ca="1" si="34"/>
        <v>0.14782500000000001</v>
      </c>
      <c r="AD182" s="118">
        <f t="shared" ca="1" si="35"/>
        <v>0</v>
      </c>
      <c r="AE182" s="118">
        <f t="shared" ca="1" si="36"/>
        <v>0.14782500000000001</v>
      </c>
      <c r="AF182" s="118">
        <f t="shared" ca="1" si="28"/>
        <v>-6.9616438356165378E-3</v>
      </c>
      <c r="AG182" s="118">
        <f t="shared" ca="1" si="29"/>
        <v>-8.3514200000001182</v>
      </c>
      <c r="AH182" s="204">
        <f t="shared" ca="1" si="37"/>
        <v>-1.2345486615000176</v>
      </c>
      <c r="AI182" s="259"/>
    </row>
    <row r="183" spans="3:35" ht="15.75" x14ac:dyDescent="0.2">
      <c r="C183" s="308"/>
      <c r="K183" s="266" t="s">
        <v>294</v>
      </c>
      <c r="L183" s="266" t="s">
        <v>53</v>
      </c>
      <c r="M183" s="339">
        <f ca="1">IF(rF1.CheckWoodenSlab01=1,"-",IF(ISNUMBER(rF1.SlabStiffnessType)=FALSE,rF1.SlabStiffnessType,IF(rF1.SlabType=rP1.CheckWordCantilever,0,rF1.SlabStiffnessBearing*rF1.ConcreteElasticity*1000*rF1.InertiaSlab/IF(rF1.SlabStiffnessType=1.5,MIN(rF1.SlabSpanPerpendicular*1,rF1.SlabSpanParallel*1),rF1.SlabSpanPerpendicular))))</f>
        <v>110029.33333333333</v>
      </c>
      <c r="N183" s="339">
        <f ca="1">IF(rF1.CheckWoodenSlab02=1,"-",IF(ISNUMBER(rF1.SlabStiffnessType)=FALSE,rF1.SlabStiffnessType,IF(rF1.SlabType=rP1.CheckWordCantilever,0,rF1.SlabStiffnessBearing*rF1.ConcreteElasticity*1000*rF1.InertiaSlab/IF(rF1.SlabStiffnessType=1.5,MIN(rF1.SlabSpanPerpendicular*1,rF1.SlabSpanParallel*1),rF1.SlabSpanPerpendicular))))</f>
        <v>53240</v>
      </c>
      <c r="O183" s="339">
        <f ca="1">IF(rF1.CheckWoodenSlab03=1,"-",IF(ISNUMBER(rF1.SlabStiffnessType)=FALSE,rF1.SlabStiffnessType,IF(OR(rF1.CheckSlabExisting03=0,rF1.SlabType=rP1.CheckWordCantilever),0,rF1.SlabStiffnessBearing*rF1.ConcreteElasticity*1000*rF1.InertiaSlab/IF(rF1.SlabStiffnessType=1.5,MIN(rF1.SlabSpanPerpendicular*1,rF1.SlabSpanParallel*1),rF1.SlabSpanPerpendicular))))</f>
        <v>0</v>
      </c>
      <c r="P183" s="339">
        <f ca="1">IF(rF1.CheckWoodenSlab04=1,"-",IF(ISNUMBER(rF1.SlabStiffnessType)=FALSE,rF1.SlabStiffnessType,IF(OR(rF1.CheckSlabExisting04=0,rF1.SlabType=rP1.CheckWordCantilever),0,rF1.SlabStiffnessBearing*rF1.ConcreteElasticity*1000*rF1.InertiaSlab/IF(rF1.SlabStiffnessType=1.5,MIN(rF1.SlabSpanPerpendicular*1,rF1.SlabSpanParallel*1),rF1.SlabSpanPerpendicular))))</f>
        <v>0</v>
      </c>
      <c r="Q183" s="309"/>
      <c r="R183" s="403"/>
      <c r="S183" s="155"/>
      <c r="T183" s="238">
        <v>0.82</v>
      </c>
      <c r="U183" s="209">
        <f t="shared" ca="1" si="26"/>
        <v>800.4348</v>
      </c>
      <c r="V183" s="118">
        <f t="shared" ca="1" si="30"/>
        <v>4.3230000000000005E-2</v>
      </c>
      <c r="W183" s="204">
        <f t="shared" ca="1" si="31"/>
        <v>34.602796404000003</v>
      </c>
      <c r="Y183" s="209">
        <f t="shared" ca="1" si="27"/>
        <v>800.4348</v>
      </c>
      <c r="Z183" s="118">
        <f t="shared" ca="1" si="32"/>
        <v>4.3230000000000005E-2</v>
      </c>
      <c r="AA183" s="204">
        <f t="shared" ca="1" si="33"/>
        <v>34.602796404000003</v>
      </c>
      <c r="AC183" s="209">
        <f t="shared" ca="1" si="34"/>
        <v>0.14964999999999998</v>
      </c>
      <c r="AD183" s="118">
        <f t="shared" ca="1" si="35"/>
        <v>0</v>
      </c>
      <c r="AE183" s="118">
        <f t="shared" ca="1" si="36"/>
        <v>0.14964999999999998</v>
      </c>
      <c r="AF183" s="118">
        <f t="shared" ca="1" si="28"/>
        <v>-1.836164383561642E-2</v>
      </c>
      <c r="AG183" s="118">
        <f t="shared" ca="1" si="29"/>
        <v>-22.027239999999978</v>
      </c>
      <c r="AH183" s="204">
        <f t="shared" ca="1" si="37"/>
        <v>-3.2963764659999963</v>
      </c>
      <c r="AI183" s="259"/>
    </row>
    <row r="184" spans="3:35" ht="15.75" x14ac:dyDescent="0.2">
      <c r="C184" s="308"/>
      <c r="K184" s="146" t="s">
        <v>295</v>
      </c>
      <c r="L184" s="146" t="s">
        <v>182</v>
      </c>
      <c r="M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3.6</v>
      </c>
      <c r="N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3.6</v>
      </c>
      <c r="O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5</v>
      </c>
      <c r="P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2.5</v>
      </c>
      <c r="Q184" s="319"/>
      <c r="R184" s="403"/>
      <c r="S184" s="155"/>
      <c r="T184" s="238">
        <v>0.83</v>
      </c>
      <c r="U184" s="209">
        <f t="shared" ca="1" si="26"/>
        <v>810.19619999999998</v>
      </c>
      <c r="V184" s="118">
        <f t="shared" ca="1" si="30"/>
        <v>4.1745000000000004E-2</v>
      </c>
      <c r="W184" s="204">
        <f t="shared" ca="1" si="31"/>
        <v>33.821640369000001</v>
      </c>
      <c r="Y184" s="209">
        <f t="shared" ca="1" si="27"/>
        <v>810.19619999999998</v>
      </c>
      <c r="Z184" s="118">
        <f t="shared" ca="1" si="32"/>
        <v>4.1745000000000004E-2</v>
      </c>
      <c r="AA184" s="204">
        <f t="shared" ca="1" si="33"/>
        <v>33.821640369000001</v>
      </c>
      <c r="AC184" s="209">
        <f t="shared" ca="1" si="34"/>
        <v>0.151475</v>
      </c>
      <c r="AD184" s="118">
        <f t="shared" ca="1" si="35"/>
        <v>0</v>
      </c>
      <c r="AE184" s="118">
        <f t="shared" ca="1" si="36"/>
        <v>0.151475</v>
      </c>
      <c r="AF184" s="118">
        <f t="shared" ca="1" si="28"/>
        <v>-2.9761643835616441E-2</v>
      </c>
      <c r="AG184" s="118">
        <f t="shared" ca="1" si="29"/>
        <v>-35.703060000000001</v>
      </c>
      <c r="AH184" s="204">
        <f t="shared" ca="1" si="37"/>
        <v>-5.4081210134999997</v>
      </c>
      <c r="AI184" s="259"/>
    </row>
    <row r="185" spans="3:35" ht="15.75" x14ac:dyDescent="0.2">
      <c r="C185" s="313"/>
      <c r="K185" s="266"/>
      <c r="L185" s="266" t="s">
        <v>54</v>
      </c>
      <c r="M185" s="345">
        <f ca="1">IF(rF1.CheckWoodenSlab01=1,"-",((-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-62.80615384615384</v>
      </c>
      <c r="N185" s="345">
        <f ca="1">IF(rF1.CheckWoodenSlab02=1,"-",((-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-31.40307692307692</v>
      </c>
      <c r="O185" s="345">
        <f ca="1">IF(rF1.CheckWoodenSlab03=1,"-",IF(rF1.CheckSlabExisting03=0,0,((-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0</v>
      </c>
      <c r="P185" s="345">
        <f ca="1">IF(rF1.CheckWoodenSlab04=1,"-",IF(rF1.CheckSlabExisting04=0,0,(-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0</v>
      </c>
      <c r="Q185" s="309"/>
      <c r="R185" s="403"/>
      <c r="S185" s="155"/>
      <c r="T185" s="238">
        <v>0.84</v>
      </c>
      <c r="U185" s="209">
        <f t="shared" ca="1" si="26"/>
        <v>819.95759999999996</v>
      </c>
      <c r="V185" s="118">
        <f t="shared" ca="1" si="30"/>
        <v>4.0260000000000004E-2</v>
      </c>
      <c r="W185" s="204">
        <f t="shared" ca="1" si="31"/>
        <v>33.011492976</v>
      </c>
      <c r="Y185" s="209">
        <f t="shared" ca="1" si="27"/>
        <v>819.95759999999996</v>
      </c>
      <c r="Z185" s="118">
        <f t="shared" ca="1" si="32"/>
        <v>4.0260000000000004E-2</v>
      </c>
      <c r="AA185" s="204">
        <f t="shared" ca="1" si="33"/>
        <v>33.011492976</v>
      </c>
      <c r="AC185" s="209">
        <f t="shared" ca="1" si="34"/>
        <v>0.15329999999999999</v>
      </c>
      <c r="AD185" s="118">
        <f t="shared" ca="1" si="35"/>
        <v>0</v>
      </c>
      <c r="AE185" s="118">
        <f t="shared" ca="1" si="36"/>
        <v>0.15329999999999999</v>
      </c>
      <c r="AF185" s="118">
        <f t="shared" ca="1" si="28"/>
        <v>-4.1161643835616463E-2</v>
      </c>
      <c r="AG185" s="118">
        <f t="shared" ca="1" si="29"/>
        <v>-49.378880000000024</v>
      </c>
      <c r="AH185" s="204">
        <f t="shared" ca="1" si="37"/>
        <v>-7.569782304000003</v>
      </c>
      <c r="AI185" s="259"/>
    </row>
    <row r="186" spans="3:35" x14ac:dyDescent="0.2">
      <c r="K186" s="140" t="s">
        <v>296</v>
      </c>
      <c r="L186" s="140"/>
      <c r="M186" s="140"/>
      <c r="N186" s="140"/>
      <c r="O186" s="140"/>
      <c r="P186" s="140"/>
      <c r="Q186" s="141"/>
      <c r="R186" s="403"/>
      <c r="S186" s="155"/>
      <c r="T186" s="238">
        <v>0.85</v>
      </c>
      <c r="U186" s="209">
        <f t="shared" ca="1" si="26"/>
        <v>829.71899999999994</v>
      </c>
      <c r="V186" s="118">
        <f t="shared" ca="1" si="30"/>
        <v>3.8775000000000032E-2</v>
      </c>
      <c r="W186" s="204">
        <f t="shared" ca="1" si="31"/>
        <v>32.172354225000021</v>
      </c>
      <c r="Y186" s="209">
        <f t="shared" ca="1" si="27"/>
        <v>829.71899999999994</v>
      </c>
      <c r="Z186" s="118">
        <f t="shared" ca="1" si="32"/>
        <v>3.8775000000000032E-2</v>
      </c>
      <c r="AA186" s="204">
        <f t="shared" ca="1" si="33"/>
        <v>32.172354225000021</v>
      </c>
      <c r="AC186" s="209">
        <f t="shared" ca="1" si="34"/>
        <v>0.15512499999999999</v>
      </c>
      <c r="AD186" s="118">
        <f t="shared" ca="1" si="35"/>
        <v>0</v>
      </c>
      <c r="AE186" s="118">
        <f t="shared" ca="1" si="36"/>
        <v>0.15512499999999999</v>
      </c>
      <c r="AF186" s="118">
        <f t="shared" ca="1" si="28"/>
        <v>-5.2561643835616456E-2</v>
      </c>
      <c r="AG186" s="118">
        <f t="shared" ca="1" si="29"/>
        <v>-63.054700000000018</v>
      </c>
      <c r="AH186" s="204">
        <f t="shared" ca="1" si="37"/>
        <v>-9.7813603375000024</v>
      </c>
      <c r="AI186" s="259"/>
    </row>
    <row r="187" spans="3:35" x14ac:dyDescent="0.2">
      <c r="K187" s="142" t="s">
        <v>297</v>
      </c>
      <c r="L187" s="142"/>
      <c r="M187" s="143" t="s">
        <v>255</v>
      </c>
      <c r="N187" s="143" t="s">
        <v>256</v>
      </c>
      <c r="O187" s="143" t="s">
        <v>257</v>
      </c>
      <c r="P187" s="143" t="s">
        <v>258</v>
      </c>
      <c r="Q187" s="192"/>
      <c r="R187" s="403"/>
      <c r="S187" s="155"/>
      <c r="T187" s="238">
        <v>0.86</v>
      </c>
      <c r="U187" s="209">
        <f t="shared" ca="1" si="26"/>
        <v>839.48040000000003</v>
      </c>
      <c r="V187" s="118">
        <f t="shared" ca="1" si="30"/>
        <v>3.728999999999999E-2</v>
      </c>
      <c r="W187" s="204">
        <f t="shared" ca="1" si="31"/>
        <v>31.304224115999993</v>
      </c>
      <c r="Y187" s="209">
        <f t="shared" ca="1" si="27"/>
        <v>839.48040000000003</v>
      </c>
      <c r="Z187" s="118">
        <f t="shared" ca="1" si="32"/>
        <v>3.728999999999999E-2</v>
      </c>
      <c r="AA187" s="204">
        <f t="shared" ca="1" si="33"/>
        <v>31.304224115999993</v>
      </c>
      <c r="AC187" s="209">
        <f t="shared" ca="1" si="34"/>
        <v>0.15695000000000001</v>
      </c>
      <c r="AD187" s="118">
        <f t="shared" ca="1" si="35"/>
        <v>0</v>
      </c>
      <c r="AE187" s="118">
        <f t="shared" ca="1" si="36"/>
        <v>0.15695000000000001</v>
      </c>
      <c r="AF187" s="118">
        <f t="shared" ca="1" si="28"/>
        <v>-6.3961643835616588E-2</v>
      </c>
      <c r="AG187" s="118">
        <f t="shared" ca="1" si="29"/>
        <v>-76.730520000000183</v>
      </c>
      <c r="AH187" s="204">
        <f t="shared" ca="1" si="37"/>
        <v>-12.042855114000028</v>
      </c>
      <c r="AI187" s="259"/>
    </row>
    <row r="188" spans="3:35" ht="15.75" x14ac:dyDescent="0.2">
      <c r="K188" s="218" t="s">
        <v>233</v>
      </c>
      <c r="L188" s="146" t="s">
        <v>6</v>
      </c>
      <c r="M188" s="346">
        <f>rF1.DeadLoadDesign</f>
        <v>10</v>
      </c>
      <c r="N188" s="346">
        <f>rF1.DeadLoadDesign</f>
        <v>10</v>
      </c>
      <c r="O188" s="346">
        <f>rF1.DeadLoadDesign</f>
        <v>8</v>
      </c>
      <c r="P188" s="346">
        <f>rF1.DeadLoadDesign</f>
        <v>5</v>
      </c>
      <c r="Q188" s="319"/>
      <c r="S188" s="155"/>
      <c r="T188" s="238">
        <v>0.87</v>
      </c>
      <c r="U188" s="209">
        <f t="shared" ca="1" si="26"/>
        <v>849.24180000000001</v>
      </c>
      <c r="V188" s="118">
        <f t="shared" ca="1" si="30"/>
        <v>3.5805000000000003E-2</v>
      </c>
      <c r="W188" s="204">
        <f t="shared" ca="1" si="31"/>
        <v>30.407102649000002</v>
      </c>
      <c r="Y188" s="209">
        <f t="shared" ca="1" si="27"/>
        <v>849.24180000000001</v>
      </c>
      <c r="Z188" s="118">
        <f t="shared" ca="1" si="32"/>
        <v>3.5805000000000003E-2</v>
      </c>
      <c r="AA188" s="204">
        <f t="shared" ca="1" si="33"/>
        <v>30.407102649000002</v>
      </c>
      <c r="AC188" s="209">
        <f t="shared" ca="1" si="34"/>
        <v>0.158775</v>
      </c>
      <c r="AD188" s="118">
        <f t="shared" ca="1" si="35"/>
        <v>0</v>
      </c>
      <c r="AE188" s="118">
        <f t="shared" ca="1" si="36"/>
        <v>0.158775</v>
      </c>
      <c r="AF188" s="118">
        <f t="shared" ca="1" si="28"/>
        <v>-7.5361643835616471E-2</v>
      </c>
      <c r="AG188" s="118">
        <f t="shared" ca="1" si="29"/>
        <v>-90.406340000000029</v>
      </c>
      <c r="AH188" s="204">
        <f t="shared" ca="1" si="37"/>
        <v>-14.354266633500005</v>
      </c>
      <c r="AI188" s="259"/>
    </row>
    <row r="189" spans="3:35" ht="15.75" x14ac:dyDescent="0.2">
      <c r="K189" s="347" t="s">
        <v>234</v>
      </c>
      <c r="L189" s="266" t="s">
        <v>7</v>
      </c>
      <c r="M189" s="348">
        <f>rF1.LiveLoadDesign</f>
        <v>4</v>
      </c>
      <c r="N189" s="348">
        <f>rF1.LiveLoadDesign</f>
        <v>4</v>
      </c>
      <c r="O189" s="348">
        <f>rF1.LiveLoadDesign</f>
        <v>0</v>
      </c>
      <c r="P189" s="348">
        <f>rF1.LiveLoadDesign</f>
        <v>3</v>
      </c>
      <c r="Q189" s="309"/>
      <c r="S189" s="155"/>
      <c r="T189" s="238">
        <v>0.88</v>
      </c>
      <c r="U189" s="209">
        <f t="shared" ca="1" si="26"/>
        <v>859.00319999999999</v>
      </c>
      <c r="V189" s="118">
        <f t="shared" ca="1" si="30"/>
        <v>3.4320000000000017E-2</v>
      </c>
      <c r="W189" s="204">
        <f t="shared" ca="1" si="31"/>
        <v>29.480989824000016</v>
      </c>
      <c r="Y189" s="209">
        <f t="shared" ca="1" si="27"/>
        <v>859.00319999999999</v>
      </c>
      <c r="Z189" s="118">
        <f t="shared" ca="1" si="32"/>
        <v>3.4320000000000017E-2</v>
      </c>
      <c r="AA189" s="204">
        <f t="shared" ca="1" si="33"/>
        <v>29.480989824000016</v>
      </c>
      <c r="AC189" s="209">
        <f t="shared" ca="1" si="34"/>
        <v>0.16059999999999999</v>
      </c>
      <c r="AD189" s="118">
        <f t="shared" ca="1" si="35"/>
        <v>0</v>
      </c>
      <c r="AE189" s="118">
        <f t="shared" ca="1" si="36"/>
        <v>0.16059999999999999</v>
      </c>
      <c r="AF189" s="118">
        <f t="shared" ca="1" si="28"/>
        <v>-8.6761643835616492E-2</v>
      </c>
      <c r="AG189" s="118">
        <f t="shared" ca="1" si="29"/>
        <v>-104.08216000000004</v>
      </c>
      <c r="AH189" s="204">
        <f t="shared" ca="1" si="37"/>
        <v>-16.715594896000006</v>
      </c>
      <c r="AI189" s="259"/>
    </row>
    <row r="190" spans="3:35" ht="15.75" x14ac:dyDescent="0.2">
      <c r="K190" s="218" t="s">
        <v>235</v>
      </c>
      <c r="L190" s="146" t="s">
        <v>594</v>
      </c>
      <c r="M190" s="346">
        <f>rF1.DeadLoadDesign+rF1.LiveLoadDesign</f>
        <v>14</v>
      </c>
      <c r="N190" s="346">
        <f>rF1.DeadLoadDesign+rF1.LiveLoadDesign</f>
        <v>14</v>
      </c>
      <c r="O190" s="346">
        <f>rF1.DeadLoadDesign+rF1.LiveLoadDesign</f>
        <v>8</v>
      </c>
      <c r="P190" s="346">
        <f>rF1.DeadLoadDesign+rF1.LiveLoadDesign</f>
        <v>8</v>
      </c>
      <c r="Q190" s="319"/>
      <c r="R190" s="403"/>
      <c r="S190" s="155"/>
      <c r="T190" s="238">
        <v>0.89</v>
      </c>
      <c r="U190" s="209">
        <f t="shared" ca="1" si="26"/>
        <v>868.76459999999997</v>
      </c>
      <c r="V190" s="118">
        <f t="shared" ca="1" si="30"/>
        <v>3.2835000000000003E-2</v>
      </c>
      <c r="W190" s="204">
        <f t="shared" ca="1" si="31"/>
        <v>28.525885641000002</v>
      </c>
      <c r="Y190" s="209">
        <f t="shared" ca="1" si="27"/>
        <v>868.76459999999997</v>
      </c>
      <c r="Z190" s="118">
        <f t="shared" ca="1" si="32"/>
        <v>3.2835000000000003E-2</v>
      </c>
      <c r="AA190" s="204">
        <f t="shared" ca="1" si="33"/>
        <v>28.525885641000002</v>
      </c>
      <c r="AC190" s="209">
        <f t="shared" ca="1" si="34"/>
        <v>0.16242499999999999</v>
      </c>
      <c r="AD190" s="118">
        <f t="shared" ca="1" si="35"/>
        <v>0</v>
      </c>
      <c r="AE190" s="118">
        <f t="shared" ca="1" si="36"/>
        <v>0.16242499999999999</v>
      </c>
      <c r="AF190" s="118">
        <f t="shared" ca="1" si="28"/>
        <v>-9.8161643835616375E-2</v>
      </c>
      <c r="AG190" s="118">
        <f t="shared" ca="1" si="29"/>
        <v>-117.75797999999993</v>
      </c>
      <c r="AH190" s="204">
        <f t="shared" ca="1" si="37"/>
        <v>-19.126839901499988</v>
      </c>
      <c r="AI190" s="259"/>
    </row>
    <row r="191" spans="3:35" x14ac:dyDescent="0.2">
      <c r="K191" s="142" t="s">
        <v>298</v>
      </c>
      <c r="L191" s="142"/>
      <c r="M191" s="143" t="s">
        <v>255</v>
      </c>
      <c r="N191" s="143" t="s">
        <v>256</v>
      </c>
      <c r="O191" s="143" t="s">
        <v>257</v>
      </c>
      <c r="P191" s="143" t="s">
        <v>258</v>
      </c>
      <c r="Q191" s="192"/>
      <c r="R191" s="403"/>
      <c r="S191" s="155"/>
      <c r="T191" s="238">
        <v>0.9</v>
      </c>
      <c r="U191" s="209">
        <f t="shared" ca="1" si="26"/>
        <v>878.52599999999995</v>
      </c>
      <c r="V191" s="118">
        <f t="shared" ca="1" si="30"/>
        <v>3.1350000000000017E-2</v>
      </c>
      <c r="W191" s="204">
        <f t="shared" ca="1" si="31"/>
        <v>27.541790100000014</v>
      </c>
      <c r="Y191" s="209">
        <f t="shared" ca="1" si="27"/>
        <v>878.52599999999995</v>
      </c>
      <c r="Z191" s="118">
        <f t="shared" ca="1" si="32"/>
        <v>3.1350000000000017E-2</v>
      </c>
      <c r="AA191" s="204">
        <f t="shared" ca="1" si="33"/>
        <v>27.541790100000014</v>
      </c>
      <c r="AC191" s="209">
        <f t="shared" ca="1" si="34"/>
        <v>0.16425000000000001</v>
      </c>
      <c r="AD191" s="118">
        <f t="shared" ca="1" si="35"/>
        <v>0</v>
      </c>
      <c r="AE191" s="118">
        <f t="shared" ca="1" si="36"/>
        <v>0.16425000000000001</v>
      </c>
      <c r="AF191" s="118">
        <f t="shared" ca="1" si="28"/>
        <v>-0.10956164383561651</v>
      </c>
      <c r="AG191" s="118">
        <f t="shared" ca="1" si="29"/>
        <v>-131.43380000000008</v>
      </c>
      <c r="AH191" s="204">
        <f t="shared" ca="1" si="37"/>
        <v>-21.588001650000013</v>
      </c>
      <c r="AI191" s="259"/>
    </row>
    <row r="192" spans="3:35" x14ac:dyDescent="0.2">
      <c r="K192" s="347" t="s">
        <v>237</v>
      </c>
      <c r="L192" s="266"/>
      <c r="M192" s="348">
        <f>rF1.DesignLineDeadLoad</f>
        <v>0</v>
      </c>
      <c r="N192" s="348">
        <f>rF1.DesignLineDeadLoad</f>
        <v>0</v>
      </c>
      <c r="O192" s="348">
        <f>rF1.DesignLineDeadLoad</f>
        <v>0</v>
      </c>
      <c r="P192" s="348">
        <f>rF1.DesignLineDeadLoad</f>
        <v>0</v>
      </c>
      <c r="Q192" s="309"/>
      <c r="R192" s="403"/>
      <c r="S192" s="155"/>
      <c r="T192" s="238">
        <v>0.91</v>
      </c>
      <c r="U192" s="209">
        <f t="shared" ca="1" si="26"/>
        <v>888.28740000000005</v>
      </c>
      <c r="V192" s="118">
        <f t="shared" ca="1" si="30"/>
        <v>2.9865000000000003E-2</v>
      </c>
      <c r="W192" s="204">
        <f t="shared" ca="1" si="31"/>
        <v>26.528703201000003</v>
      </c>
      <c r="Y192" s="209">
        <f t="shared" ca="1" si="27"/>
        <v>888.28740000000005</v>
      </c>
      <c r="Z192" s="118">
        <f t="shared" ca="1" si="32"/>
        <v>2.9865000000000003E-2</v>
      </c>
      <c r="AA192" s="204">
        <f t="shared" ca="1" si="33"/>
        <v>26.528703201000003</v>
      </c>
      <c r="AC192" s="209">
        <f t="shared" ca="1" si="34"/>
        <v>0.166075</v>
      </c>
      <c r="AD192" s="118">
        <f t="shared" ca="1" si="35"/>
        <v>0</v>
      </c>
      <c r="AE192" s="118">
        <f t="shared" ca="1" si="36"/>
        <v>0.166075</v>
      </c>
      <c r="AF192" s="118">
        <f t="shared" ca="1" si="28"/>
        <v>-0.12096164383561651</v>
      </c>
      <c r="AG192" s="118">
        <f t="shared" ca="1" si="29"/>
        <v>-145.10962000000006</v>
      </c>
      <c r="AH192" s="204">
        <f t="shared" ca="1" si="37"/>
        <v>-24.099080141500011</v>
      </c>
      <c r="AI192" s="259"/>
    </row>
    <row r="193" spans="5:35" x14ac:dyDescent="0.2">
      <c r="K193" s="218" t="s">
        <v>238</v>
      </c>
      <c r="L193" s="146"/>
      <c r="M193" s="346">
        <f>rF1.DesignLineLiveLoad</f>
        <v>0</v>
      </c>
      <c r="N193" s="346">
        <f>rF1.DesignLineLiveLoad</f>
        <v>0</v>
      </c>
      <c r="O193" s="346">
        <f>rF1.DesignLineLiveLoad</f>
        <v>0</v>
      </c>
      <c r="P193" s="346">
        <f>rF1.DesignLineLiveLoad</f>
        <v>0</v>
      </c>
      <c r="Q193" s="319"/>
      <c r="S193" s="155"/>
      <c r="T193" s="238">
        <v>0.92</v>
      </c>
      <c r="U193" s="209">
        <f t="shared" ca="1" si="26"/>
        <v>898.04880000000003</v>
      </c>
      <c r="V193" s="118">
        <f t="shared" ca="1" si="30"/>
        <v>2.8380000000000016E-2</v>
      </c>
      <c r="W193" s="204">
        <f t="shared" ca="1" si="31"/>
        <v>25.486624944000017</v>
      </c>
      <c r="Y193" s="209">
        <f t="shared" ca="1" si="27"/>
        <v>898.04880000000003</v>
      </c>
      <c r="Z193" s="118">
        <f t="shared" ca="1" si="32"/>
        <v>2.8380000000000016E-2</v>
      </c>
      <c r="AA193" s="204">
        <f t="shared" ca="1" si="33"/>
        <v>25.486624944000017</v>
      </c>
      <c r="AC193" s="209">
        <f t="shared" ca="1" si="34"/>
        <v>0.16789999999999999</v>
      </c>
      <c r="AD193" s="118">
        <f t="shared" ca="1" si="35"/>
        <v>0</v>
      </c>
      <c r="AE193" s="118">
        <f t="shared" ca="1" si="36"/>
        <v>0.16789999999999999</v>
      </c>
      <c r="AF193" s="118">
        <f t="shared" ca="1" si="28"/>
        <v>-0.13236164383561652</v>
      </c>
      <c r="AG193" s="118">
        <f t="shared" ca="1" si="29"/>
        <v>-158.78544000000008</v>
      </c>
      <c r="AH193" s="204">
        <f t="shared" ca="1" si="37"/>
        <v>-26.660075376000012</v>
      </c>
      <c r="AI193" s="259"/>
    </row>
    <row r="194" spans="5:35" x14ac:dyDescent="0.2">
      <c r="K194" s="347" t="s">
        <v>239</v>
      </c>
      <c r="L194" s="266"/>
      <c r="M194" s="348">
        <f>rF1.DesignLineDeadLoad+rF1.DesignLineLiveLoad</f>
        <v>0</v>
      </c>
      <c r="N194" s="348">
        <f>rF1.DesignLineDeadLoad+rF1.DesignLineLiveLoad</f>
        <v>0</v>
      </c>
      <c r="O194" s="348">
        <f>rF1.DesignLineDeadLoad+rF1.DesignLineLiveLoad</f>
        <v>0</v>
      </c>
      <c r="P194" s="348">
        <f>rF1.DesignLineDeadLoad+rF1.DesignLineLiveLoad</f>
        <v>0</v>
      </c>
      <c r="Q194" s="309"/>
      <c r="R194" s="403"/>
      <c r="S194" s="155"/>
      <c r="T194" s="238">
        <v>0.93</v>
      </c>
      <c r="U194" s="209">
        <f t="shared" ca="1" si="26"/>
        <v>907.81020000000001</v>
      </c>
      <c r="V194" s="118">
        <f t="shared" ca="1" si="30"/>
        <v>2.6895000000000002E-2</v>
      </c>
      <c r="W194" s="204">
        <f t="shared" ca="1" si="31"/>
        <v>24.415555329000004</v>
      </c>
      <c r="Y194" s="209">
        <f t="shared" ca="1" si="27"/>
        <v>907.81020000000001</v>
      </c>
      <c r="Z194" s="118">
        <f t="shared" ca="1" si="32"/>
        <v>2.6895000000000002E-2</v>
      </c>
      <c r="AA194" s="204">
        <f t="shared" ca="1" si="33"/>
        <v>24.415555329000004</v>
      </c>
      <c r="AC194" s="209">
        <f t="shared" ca="1" si="34"/>
        <v>0.16972500000000001</v>
      </c>
      <c r="AD194" s="118">
        <f t="shared" ca="1" si="35"/>
        <v>0</v>
      </c>
      <c r="AE194" s="118">
        <f t="shared" ca="1" si="36"/>
        <v>0.16972500000000001</v>
      </c>
      <c r="AF194" s="118">
        <f t="shared" ca="1" si="28"/>
        <v>-0.14376164383561651</v>
      </c>
      <c r="AG194" s="118">
        <f t="shared" ca="1" si="29"/>
        <v>-172.46126000000007</v>
      </c>
      <c r="AH194" s="204">
        <f t="shared" ca="1" si="37"/>
        <v>-29.270987353500015</v>
      </c>
      <c r="AI194" s="259"/>
    </row>
    <row r="195" spans="5:35" x14ac:dyDescent="0.2">
      <c r="K195" s="218" t="s">
        <v>240</v>
      </c>
      <c r="L195" s="146"/>
      <c r="M195" s="318">
        <f>rF1.PositioningLineLoad</f>
        <v>0</v>
      </c>
      <c r="N195" s="318">
        <f>rF1.PositioningLineLoad</f>
        <v>0</v>
      </c>
      <c r="O195" s="318">
        <f>rF1.PositioningLineLoad</f>
        <v>0</v>
      </c>
      <c r="P195" s="318">
        <f>rF1.PositioningLineLoad</f>
        <v>0</v>
      </c>
      <c r="Q195" s="319"/>
      <c r="R195" s="403"/>
      <c r="S195" s="155"/>
      <c r="T195" s="238">
        <v>0.94</v>
      </c>
      <c r="U195" s="209">
        <f t="shared" ca="1" si="26"/>
        <v>917.57159999999999</v>
      </c>
      <c r="V195" s="118">
        <f t="shared" ca="1" si="30"/>
        <v>2.5410000000000016E-2</v>
      </c>
      <c r="W195" s="204">
        <f t="shared" ca="1" si="31"/>
        <v>23.315494356000013</v>
      </c>
      <c r="Y195" s="209">
        <f t="shared" ca="1" si="27"/>
        <v>917.57159999999999</v>
      </c>
      <c r="Z195" s="118">
        <f t="shared" ca="1" si="32"/>
        <v>2.5410000000000016E-2</v>
      </c>
      <c r="AA195" s="204">
        <f t="shared" ca="1" si="33"/>
        <v>23.315494356000013</v>
      </c>
      <c r="AC195" s="209">
        <f t="shared" ca="1" si="34"/>
        <v>0.17154999999999998</v>
      </c>
      <c r="AD195" s="118">
        <f t="shared" ca="1" si="35"/>
        <v>0</v>
      </c>
      <c r="AE195" s="118">
        <f t="shared" ca="1" si="36"/>
        <v>0.17154999999999998</v>
      </c>
      <c r="AF195" s="118">
        <f t="shared" ca="1" si="28"/>
        <v>-0.15516164383561643</v>
      </c>
      <c r="AG195" s="118">
        <f t="shared" ca="1" si="29"/>
        <v>-186.13707999999997</v>
      </c>
      <c r="AH195" s="204">
        <f t="shared" ca="1" si="37"/>
        <v>-31.93181607399999</v>
      </c>
      <c r="AI195" s="259"/>
    </row>
    <row r="196" spans="5:35" x14ac:dyDescent="0.2">
      <c r="K196" s="142" t="s">
        <v>299</v>
      </c>
      <c r="L196" s="142"/>
      <c r="M196" s="143" t="s">
        <v>259</v>
      </c>
      <c r="N196" s="143" t="s">
        <v>260</v>
      </c>
      <c r="O196" s="143" t="s">
        <v>261</v>
      </c>
      <c r="P196" s="143"/>
      <c r="Q196" s="192"/>
      <c r="R196" s="403"/>
      <c r="S196" s="155"/>
      <c r="T196" s="238">
        <v>0.95</v>
      </c>
      <c r="U196" s="209">
        <f t="shared" ref="U196:U202" ca="1" si="38">IF(rF1.CheckWoodenSlabCalc,0,rF1.PlotAxForceFactor*rF1.PlotAxResistanceMaxTop)</f>
        <v>927.33299999999997</v>
      </c>
      <c r="V196" s="118">
        <f t="shared" ca="1" si="30"/>
        <v>2.392500000000003E-2</v>
      </c>
      <c r="W196" s="204">
        <f t="shared" ca="1" si="31"/>
        <v>22.186442025000026</v>
      </c>
      <c r="Y196" s="209">
        <f t="shared" ref="Y196:Y202" ca="1" si="39">IF(rF1.CheckWoodenSlabCalc,0,rF1.PlotAxForceFactor*rF1.PlotAxResistanceMaxBottom)</f>
        <v>927.33299999999997</v>
      </c>
      <c r="Z196" s="118">
        <f t="shared" ca="1" si="32"/>
        <v>2.392500000000003E-2</v>
      </c>
      <c r="AA196" s="204">
        <f t="shared" ca="1" si="33"/>
        <v>22.186442025000026</v>
      </c>
      <c r="AC196" s="209">
        <f t="shared" ca="1" si="34"/>
        <v>0.173375</v>
      </c>
      <c r="AD196" s="118">
        <f t="shared" ca="1" si="35"/>
        <v>0</v>
      </c>
      <c r="AE196" s="118">
        <f t="shared" ca="1" si="36"/>
        <v>0.173375</v>
      </c>
      <c r="AF196" s="118">
        <f t="shared" ref="AF196:AF202" ca="1" si="40">MIN(1.14*(1-2*rF1.PlotExcentricityTotalMiddle/rF1.WallThickness02)-0.024*rF1.WallHeightEffective/rF1.WallThickness02,1-2*rF1.PlotExcentricityTotalMiddle/rF1.WallThickness02)</f>
        <v>-0.16656164383561656</v>
      </c>
      <c r="AG196" s="118">
        <f t="shared" ref="AG196:AG201" ca="1" si="41">IF(rF1.CheckWoodenSlabCalc,0,rF1.PlotReductionParameterMiddle*rF1.WallThickness02*rF1.ReductionMasonryStrenghtArea02*rF1.ReductionMasonryStrengthLongTerm*rF1.MasonryStrenghtChar02/rF1.SafetyFactorMaterial02*1000)</f>
        <v>-199.8129000000001</v>
      </c>
      <c r="AH196" s="204">
        <f t="shared" ca="1" si="37"/>
        <v>-34.642561537500015</v>
      </c>
      <c r="AI196" s="259"/>
    </row>
    <row r="197" spans="5:35" ht="15.75" x14ac:dyDescent="0.2">
      <c r="K197" s="146" t="s">
        <v>242</v>
      </c>
      <c r="L197" s="146" t="s">
        <v>62</v>
      </c>
      <c r="M197" s="248">
        <f>rF1.WallAxForceDeadTop</f>
        <v>50</v>
      </c>
      <c r="N197" s="248">
        <f>rF1.WallAxForceLiveTop</f>
        <v>20</v>
      </c>
      <c r="O197" s="257">
        <f>rF1.WallAxForceTop</f>
        <v>53.846153846153847</v>
      </c>
      <c r="P197" s="131"/>
      <c r="Q197" s="131"/>
      <c r="R197" s="403"/>
      <c r="S197" s="155"/>
      <c r="T197" s="238">
        <v>0.96</v>
      </c>
      <c r="U197" s="209">
        <f t="shared" ca="1" si="38"/>
        <v>937.09439999999995</v>
      </c>
      <c r="V197" s="118">
        <f t="shared" ca="1" si="30"/>
        <v>2.2440000000000015E-2</v>
      </c>
      <c r="W197" s="204">
        <f t="shared" ref="W197:W202" ca="1" si="42">rF1.PlotAxForceTop*rF1.PlotExcentricityTop</f>
        <v>21.028398336000013</v>
      </c>
      <c r="Y197" s="209">
        <f t="shared" ca="1" si="39"/>
        <v>937.09439999999995</v>
      </c>
      <c r="Z197" s="118">
        <f t="shared" ca="1" si="32"/>
        <v>2.2440000000000015E-2</v>
      </c>
      <c r="AA197" s="204">
        <f t="shared" ref="AA197:AA202" ca="1" si="43">rF1.PlotAxForceBottom*rF1.PlotExcentricityBottom</f>
        <v>21.028398336000013</v>
      </c>
      <c r="AC197" s="209">
        <f t="shared" ca="1" si="34"/>
        <v>0.17519999999999999</v>
      </c>
      <c r="AD197" s="118">
        <f t="shared" ref="AD197:AD202" ca="1" si="44">IF(rF1.WallSlenderness02&lt;=rP1.MaxSlendernessCreepEcc,0,0.002*rP1.CreepCoefficient*rF1.WallHeightBuckling/rF1.WallHeight02*SQRT(rF1.WallHeight02*rF1.PlotExcentricityLoadMiddle))</f>
        <v>0</v>
      </c>
      <c r="AE197" s="118">
        <f t="shared" ref="AE197:AE202" ca="1" si="45">MAX(rF1.PlotExcentricityCreepMiddle+rF1.PlotExcentricityLoadMiddle,0.05*rF1.WallThickness02)</f>
        <v>0.17519999999999999</v>
      </c>
      <c r="AF197" s="118">
        <f t="shared" ca="1" si="40"/>
        <v>-0.17796164383561644</v>
      </c>
      <c r="AG197" s="118">
        <f t="shared" ca="1" si="41"/>
        <v>-213.48872</v>
      </c>
      <c r="AH197" s="204">
        <f t="shared" ref="AH197:AH202" ca="1" si="46">rF1.PlotExcentricityTotalMiddle*rF1.PlotAxForceMiddle</f>
        <v>-37.403223744000002</v>
      </c>
      <c r="AI197" s="259"/>
    </row>
    <row r="198" spans="5:35" ht="15.75" x14ac:dyDescent="0.2">
      <c r="K198" s="266" t="s">
        <v>243</v>
      </c>
      <c r="L198" s="266" t="s">
        <v>33</v>
      </c>
      <c r="M198" s="349">
        <f ca="1">rF1.WallAxForceDeadMiddle</f>
        <v>80.54384563375001</v>
      </c>
      <c r="N198" s="349">
        <f>rF1.WallAxForceLiveMiddle</f>
        <v>20</v>
      </c>
      <c r="O198" s="350">
        <f ca="1">rF1.WallAxForceMiddle</f>
        <v>61.956804333653849</v>
      </c>
      <c r="P198" s="351"/>
      <c r="Q198" s="351"/>
      <c r="S198" s="155"/>
      <c r="T198" s="238">
        <v>0.97</v>
      </c>
      <c r="U198" s="209">
        <f t="shared" ca="1" si="38"/>
        <v>946.85579999999993</v>
      </c>
      <c r="V198" s="118">
        <f t="shared" ca="1" si="30"/>
        <v>2.0955000000000001E-2</v>
      </c>
      <c r="W198" s="204">
        <f t="shared" ca="1" si="42"/>
        <v>19.841363289</v>
      </c>
      <c r="Y198" s="209">
        <f t="shared" ca="1" si="39"/>
        <v>946.85579999999993</v>
      </c>
      <c r="Z198" s="118">
        <f t="shared" ca="1" si="32"/>
        <v>2.0955000000000001E-2</v>
      </c>
      <c r="AA198" s="204">
        <f t="shared" ca="1" si="43"/>
        <v>19.841363289</v>
      </c>
      <c r="AC198" s="209">
        <f t="shared" ca="1" si="34"/>
        <v>0.17702499999999999</v>
      </c>
      <c r="AD198" s="118">
        <f t="shared" ca="1" si="44"/>
        <v>0</v>
      </c>
      <c r="AE198" s="118">
        <f t="shared" ca="1" si="45"/>
        <v>0.17702499999999999</v>
      </c>
      <c r="AF198" s="118">
        <f t="shared" ca="1" si="40"/>
        <v>-0.18936164383561643</v>
      </c>
      <c r="AG198" s="118">
        <f t="shared" ca="1" si="41"/>
        <v>-227.16453999999996</v>
      </c>
      <c r="AH198" s="204">
        <f t="shared" ca="1" si="46"/>
        <v>-40.213802693499993</v>
      </c>
      <c r="AI198" s="259"/>
    </row>
    <row r="199" spans="5:35" ht="15.75" x14ac:dyDescent="0.2">
      <c r="K199" s="146" t="s">
        <v>244</v>
      </c>
      <c r="L199" s="146" t="s">
        <v>34</v>
      </c>
      <c r="M199" s="248">
        <f ca="1">rF1.WallAxForceDeadBottom</f>
        <v>91.087691267500006</v>
      </c>
      <c r="N199" s="248">
        <f>rF1.WallAxForceLiveBottom</f>
        <v>20</v>
      </c>
      <c r="O199" s="257">
        <f ca="1">rF1.WallAxForceBottom</f>
        <v>70.067454821153845</v>
      </c>
      <c r="P199" s="131"/>
      <c r="Q199" s="131"/>
      <c r="S199" s="155"/>
      <c r="T199" s="238">
        <v>0.98</v>
      </c>
      <c r="U199" s="209">
        <f t="shared" ca="1" si="38"/>
        <v>956.61720000000003</v>
      </c>
      <c r="V199" s="118">
        <f t="shared" ca="1" si="30"/>
        <v>1.9470000000000015E-2</v>
      </c>
      <c r="W199" s="204">
        <f t="shared" ca="1" si="42"/>
        <v>18.625336884000014</v>
      </c>
      <c r="Y199" s="209">
        <f t="shared" ca="1" si="39"/>
        <v>956.61720000000003</v>
      </c>
      <c r="Z199" s="118">
        <f t="shared" ca="1" si="32"/>
        <v>1.9470000000000015E-2</v>
      </c>
      <c r="AA199" s="204">
        <f t="shared" ca="1" si="43"/>
        <v>18.625336884000014</v>
      </c>
      <c r="AC199" s="209">
        <f t="shared" ca="1" si="34"/>
        <v>0.17884999999999998</v>
      </c>
      <c r="AD199" s="118">
        <f t="shared" ca="1" si="44"/>
        <v>0</v>
      </c>
      <c r="AE199" s="118">
        <f t="shared" ca="1" si="45"/>
        <v>0.17884999999999998</v>
      </c>
      <c r="AF199" s="118">
        <f t="shared" ca="1" si="40"/>
        <v>-0.20076164383561632</v>
      </c>
      <c r="AG199" s="118">
        <f t="shared" ca="1" si="41"/>
        <v>-240.84035999999983</v>
      </c>
      <c r="AH199" s="204">
        <f t="shared" ca="1" si="46"/>
        <v>-43.074298385999967</v>
      </c>
      <c r="AI199" s="259"/>
    </row>
    <row r="200" spans="5:35" x14ac:dyDescent="0.2">
      <c r="K200" s="142" t="s">
        <v>300</v>
      </c>
      <c r="L200" s="142"/>
      <c r="M200" s="143"/>
      <c r="N200" s="143"/>
      <c r="O200" s="143"/>
      <c r="P200" s="143"/>
      <c r="Q200" s="192"/>
      <c r="S200" s="155"/>
      <c r="T200" s="238">
        <v>0.99</v>
      </c>
      <c r="U200" s="209">
        <f t="shared" ca="1" si="38"/>
        <v>966.37860000000001</v>
      </c>
      <c r="V200" s="118">
        <f t="shared" ca="1" si="30"/>
        <v>1.7985000000000001E-2</v>
      </c>
      <c r="W200" s="204">
        <f t="shared" ca="1" si="42"/>
        <v>17.380319120999999</v>
      </c>
      <c r="Y200" s="209">
        <f t="shared" ca="1" si="39"/>
        <v>966.37860000000001</v>
      </c>
      <c r="Z200" s="118">
        <f t="shared" ca="1" si="32"/>
        <v>1.7985000000000001E-2</v>
      </c>
      <c r="AA200" s="204">
        <f t="shared" ca="1" si="43"/>
        <v>17.380319120999999</v>
      </c>
      <c r="AC200" s="209">
        <f t="shared" ca="1" si="34"/>
        <v>0.180675</v>
      </c>
      <c r="AD200" s="118">
        <f t="shared" ca="1" si="44"/>
        <v>0</v>
      </c>
      <c r="AE200" s="118">
        <f t="shared" ca="1" si="45"/>
        <v>0.180675</v>
      </c>
      <c r="AF200" s="118">
        <f t="shared" ca="1" si="40"/>
        <v>-0.21216164383561645</v>
      </c>
      <c r="AG200" s="118">
        <f t="shared" ca="1" si="41"/>
        <v>-254.51618000000005</v>
      </c>
      <c r="AH200" s="204">
        <f t="shared" ca="1" si="46"/>
        <v>-45.984710821500009</v>
      </c>
      <c r="AI200" s="259"/>
    </row>
    <row r="201" spans="5:35" ht="15.75" x14ac:dyDescent="0.2">
      <c r="K201" s="146" t="s">
        <v>245</v>
      </c>
      <c r="L201" s="146" t="s">
        <v>35</v>
      </c>
      <c r="M201" s="228">
        <f>rF1.WindLoadDesign</f>
        <v>0.5</v>
      </c>
      <c r="N201" s="146"/>
      <c r="O201" s="131"/>
      <c r="P201" s="131"/>
      <c r="Q201" s="131"/>
      <c r="S201" s="155"/>
      <c r="T201" s="238">
        <v>1</v>
      </c>
      <c r="U201" s="209">
        <f t="shared" ca="1" si="38"/>
        <v>976.14</v>
      </c>
      <c r="V201" s="118">
        <f t="shared" ca="1" si="30"/>
        <v>1.6500000000000015E-2</v>
      </c>
      <c r="W201" s="204">
        <f t="shared" ca="1" si="42"/>
        <v>16.106310000000015</v>
      </c>
      <c r="Y201" s="209">
        <f t="shared" ca="1" si="39"/>
        <v>976.14</v>
      </c>
      <c r="Z201" s="118">
        <f t="shared" ca="1" si="32"/>
        <v>1.6500000000000015E-2</v>
      </c>
      <c r="AA201" s="204">
        <f t="shared" ca="1" si="43"/>
        <v>16.106310000000015</v>
      </c>
      <c r="AC201" s="209">
        <f t="shared" ca="1" si="34"/>
        <v>0.1825</v>
      </c>
      <c r="AD201" s="118">
        <f t="shared" ca="1" si="44"/>
        <v>0</v>
      </c>
      <c r="AE201" s="118">
        <f t="shared" ca="1" si="45"/>
        <v>0.1825</v>
      </c>
      <c r="AF201" s="118">
        <f t="shared" ca="1" si="40"/>
        <v>-0.22356164383561647</v>
      </c>
      <c r="AG201" s="118">
        <f t="shared" ca="1" si="41"/>
        <v>-268.19200000000006</v>
      </c>
      <c r="AH201" s="204">
        <f t="shared" ca="1" si="46"/>
        <v>-48.945040000000013</v>
      </c>
      <c r="AI201" s="259"/>
    </row>
    <row r="202" spans="5:35" x14ac:dyDescent="0.2">
      <c r="K202" s="140" t="s">
        <v>301</v>
      </c>
      <c r="L202" s="140"/>
      <c r="M202" s="140"/>
      <c r="N202" s="140"/>
      <c r="O202" s="140"/>
      <c r="P202" s="140"/>
      <c r="Q202" s="141"/>
      <c r="S202" s="155"/>
      <c r="T202" s="211">
        <v>1</v>
      </c>
      <c r="U202" s="191">
        <f t="shared" ca="1" si="38"/>
        <v>976.14</v>
      </c>
      <c r="V202" s="168">
        <v>0</v>
      </c>
      <c r="W202" s="190">
        <f t="shared" ca="1" si="42"/>
        <v>0</v>
      </c>
      <c r="Y202" s="191">
        <f t="shared" ca="1" si="39"/>
        <v>976.14</v>
      </c>
      <c r="Z202" s="168">
        <v>0</v>
      </c>
      <c r="AA202" s="190">
        <f t="shared" ca="1" si="43"/>
        <v>0</v>
      </c>
      <c r="AC202" s="191">
        <v>0</v>
      </c>
      <c r="AD202" s="168">
        <f t="shared" ca="1" si="44"/>
        <v>0</v>
      </c>
      <c r="AE202" s="168">
        <f t="shared" ca="1" si="45"/>
        <v>1.8249999999999999E-2</v>
      </c>
      <c r="AF202" s="168">
        <f t="shared" ca="1" si="40"/>
        <v>0.80243835616438353</v>
      </c>
      <c r="AG202" s="168">
        <v>0</v>
      </c>
      <c r="AH202" s="190">
        <f t="shared" ca="1" si="46"/>
        <v>0</v>
      </c>
      <c r="AI202" s="259"/>
    </row>
    <row r="203" spans="5:35" ht="15" thickBot="1" x14ac:dyDescent="0.25">
      <c r="K203" s="142" t="s">
        <v>302</v>
      </c>
      <c r="L203" s="142"/>
      <c r="M203" s="143"/>
      <c r="N203" s="143"/>
      <c r="O203" s="143"/>
      <c r="P203" s="143"/>
      <c r="Q203" s="192"/>
      <c r="S203" s="219"/>
      <c r="T203" s="222"/>
      <c r="U203" s="222"/>
      <c r="V203" s="222"/>
      <c r="W203" s="222"/>
      <c r="X203" s="222"/>
      <c r="Y203" s="222"/>
      <c r="Z203" s="222"/>
      <c r="AA203" s="222"/>
      <c r="AB203" s="222"/>
      <c r="AC203" s="222"/>
      <c r="AD203" s="222"/>
      <c r="AE203" s="222"/>
      <c r="AF203" s="222"/>
      <c r="AG203" s="222"/>
      <c r="AH203" s="222"/>
      <c r="AI203" s="275"/>
    </row>
    <row r="204" spans="5:35" x14ac:dyDescent="0.2">
      <c r="K204" s="146" t="s">
        <v>303</v>
      </c>
      <c r="L204" s="146"/>
      <c r="M204" s="146"/>
      <c r="N204" s="146"/>
      <c r="O204" s="146"/>
      <c r="P204" s="146"/>
      <c r="Q204" s="146"/>
    </row>
    <row r="205" spans="5:35" ht="15.75" x14ac:dyDescent="0.2">
      <c r="E205" s="352"/>
      <c r="F205" s="352"/>
      <c r="K205" s="347" t="s">
        <v>304</v>
      </c>
      <c r="L205" s="266" t="s">
        <v>61</v>
      </c>
      <c r="M205" s="327">
        <f ca="1">IF(rF1.CheckWoodenSlab02,1,IF((rF1.WallStiffnessTop02+rF1.CalculatedStiffnessBottom03)=0,0.5,1-MIN((rF1.SlabStiffness02+rF1.SlabStiffness04)/(rF1.WallStiffnessTop02+rF1.CalculatedStiffnessBottom03),2)/4))</f>
        <v>0.77225839294804821</v>
      </c>
      <c r="N205" s="343"/>
      <c r="O205" s="343"/>
      <c r="P205" s="343"/>
      <c r="Q205" s="347"/>
    </row>
    <row r="206" spans="5:35" ht="15.75" x14ac:dyDescent="0.2">
      <c r="E206" s="179"/>
      <c r="F206" s="179"/>
      <c r="K206" s="218" t="s">
        <v>305</v>
      </c>
      <c r="L206" s="146" t="s">
        <v>60</v>
      </c>
      <c r="M206" s="353">
        <f ca="1">IF(rF1.CheckWoodenSlab02,0,rF1.WallStiffnessTop02/(rF1.WallStiffnessTop02+rF1.CalculatedStiffnessBottom03+rF1.SlabStiffness02+rF1.SlabStiffness04)*(rF1.LoadStiffness02-rF1.LoadStiffness04)*rF1.MomentReductionTop)</f>
        <v>-6.3452945484194876</v>
      </c>
      <c r="N206" s="146"/>
      <c r="O206" s="218"/>
      <c r="P206" s="146"/>
      <c r="Q206" s="218"/>
    </row>
    <row r="207" spans="5:35" x14ac:dyDescent="0.2">
      <c r="E207" s="179"/>
      <c r="F207" s="179"/>
      <c r="K207" s="142" t="s">
        <v>307</v>
      </c>
      <c r="L207" s="142"/>
      <c r="M207" s="143"/>
      <c r="N207" s="143"/>
      <c r="O207" s="143"/>
      <c r="P207" s="143"/>
      <c r="Q207" s="192"/>
    </row>
    <row r="208" spans="5:35" x14ac:dyDescent="0.2">
      <c r="E208" s="179"/>
      <c r="F208" s="179"/>
      <c r="K208" s="146" t="s">
        <v>303</v>
      </c>
      <c r="L208" s="146"/>
      <c r="M208" s="326"/>
      <c r="N208" s="146"/>
      <c r="O208" s="146"/>
      <c r="P208" s="146"/>
      <c r="Q208" s="146"/>
      <c r="R208" s="402"/>
    </row>
    <row r="209" spans="3:18" ht="15.75" x14ac:dyDescent="0.2">
      <c r="E209" s="179"/>
      <c r="F209" s="179"/>
      <c r="K209" s="347" t="s">
        <v>304</v>
      </c>
      <c r="L209" s="266" t="s">
        <v>59</v>
      </c>
      <c r="M209" s="327">
        <f ca="1">IF(rF1.CheckWoodenSlab01,1,IF(OR(rF1.WallStiffnessBottom02+rF1.CalculatedStiffnessTop01=0,rF1.CheckFoundation,rF1.CheckBasePlate),0.5,1-MIN((rF1.SlabStiffness01+rF1.SlabStiffness03)/(rF1.WallStiffnessBottom02+rF1.CalculatedStiffnessTop01),2)/4))</f>
        <v>0.91399838682161771</v>
      </c>
      <c r="N209" s="266"/>
      <c r="O209" s="347"/>
      <c r="P209" s="266"/>
      <c r="Q209" s="347"/>
      <c r="R209" s="405"/>
    </row>
    <row r="210" spans="3:18" ht="15.75" x14ac:dyDescent="0.2">
      <c r="E210" s="179"/>
      <c r="F210" s="179"/>
      <c r="K210" s="218" t="s">
        <v>308</v>
      </c>
      <c r="L210" s="146" t="s">
        <v>58</v>
      </c>
      <c r="M210" s="353">
        <f ca="1">IF(AND(OR(rF1.CheckFoundation,rF1.CheckBasePlate),INDEX(rF1.WallBearingTop,1,2)=4),rF1.BendingMomentDecTop,IF(OR(rF1.CheckFoundation,rF1.CheckBasePlate,rF1.CheckWoodenSlab01),0,rF1.WallStiffnessBottom02/(rF1.CalculatedStiffnessTop01+rF1.WallStiffnessBottom02+rF1.SlabStiffness01+rF1.SlabStiffness03)*(rF1.LoadStiffness03-rF1.LoadStiffness01)*rF1.MomentReductionBottom))</f>
        <v>3.9022048138929311</v>
      </c>
      <c r="N210" s="146"/>
      <c r="O210" s="218"/>
      <c r="P210" s="146"/>
      <c r="Q210" s="218"/>
      <c r="R210" s="405"/>
    </row>
    <row r="211" spans="3:18" x14ac:dyDescent="0.2">
      <c r="K211" s="142" t="s">
        <v>309</v>
      </c>
      <c r="L211" s="142"/>
      <c r="M211" s="143"/>
      <c r="N211" s="143"/>
      <c r="O211" s="143"/>
      <c r="P211" s="143"/>
      <c r="Q211" s="192"/>
    </row>
    <row r="212" spans="3:18" ht="15.75" x14ac:dyDescent="0.2">
      <c r="K212" s="146" t="s">
        <v>310</v>
      </c>
      <c r="L212" s="146" t="s">
        <v>56</v>
      </c>
      <c r="M212" s="353">
        <f ca="1">(rF1.BendingMomentDecTop+rF1.BendingMomentDecBottom)/2</f>
        <v>-1.2215448672632783</v>
      </c>
      <c r="N212" s="146"/>
      <c r="O212" s="146"/>
      <c r="P212" s="146"/>
      <c r="Q212" s="146"/>
      <c r="R212" s="402"/>
    </row>
    <row r="213" spans="3:18" x14ac:dyDescent="0.2">
      <c r="K213" s="142" t="s">
        <v>311</v>
      </c>
      <c r="L213" s="142"/>
      <c r="M213" s="143"/>
      <c r="N213" s="143"/>
      <c r="O213" s="143"/>
      <c r="P213" s="143"/>
      <c r="Q213" s="192"/>
      <c r="R213" s="405"/>
    </row>
    <row r="214" spans="3:18" ht="15.75" x14ac:dyDescent="0.2">
      <c r="C214" s="194">
        <v>1</v>
      </c>
      <c r="F214" s="194">
        <f ca="1">OFFSET(rL3.Knoten,rF1.AufteilungMomenteWindSelection,rF1.ColumnPlacementFactor,1,1)</f>
        <v>-6.25E-2</v>
      </c>
      <c r="K214" s="146" t="s">
        <v>312</v>
      </c>
      <c r="L214" s="146" t="s">
        <v>181</v>
      </c>
      <c r="M214" s="353">
        <f ca="1">ABS(rF1.WindLoadDesign)*rF1.WallHeight02^2*rF1.WindMomentFactor*rF1.SlabInfluenceWidth/rF1.WallLenght02</f>
        <v>-1.500576923076923</v>
      </c>
      <c r="N214" s="353"/>
      <c r="O214" s="353"/>
      <c r="P214" s="146"/>
      <c r="Q214" s="146"/>
      <c r="R214" s="405"/>
    </row>
    <row r="215" spans="3:18" ht="15.75" x14ac:dyDescent="0.2">
      <c r="C215" s="308">
        <v>2</v>
      </c>
      <c r="F215" s="308">
        <f ca="1">OFFSET(rL3.Knoten,rF1.AufteilungMomenteWindSelection,rF1.ColumnPlacementFactor,1,1)</f>
        <v>6.25E-2</v>
      </c>
      <c r="K215" s="266" t="s">
        <v>313</v>
      </c>
      <c r="L215" s="266" t="s">
        <v>55</v>
      </c>
      <c r="M215" s="345">
        <f ca="1">ABS(rF1.WindLoadDesign)*rF1.WallHeight02^2*rF1.WindMomentFactor*rF1.SlabInfluenceWidth/rF1.WallLenght02</f>
        <v>1.500576923076923</v>
      </c>
      <c r="N215" s="345"/>
      <c r="O215" s="345"/>
      <c r="P215" s="266"/>
      <c r="Q215" s="347"/>
    </row>
    <row r="216" spans="3:18" ht="15.75" x14ac:dyDescent="0.2">
      <c r="C216" s="313">
        <v>3</v>
      </c>
      <c r="F216" s="313">
        <f ca="1">OFFSET(rL3.Knoten,rF1.AufteilungMomenteWindSelection,rF1.ColumnPlacementFactor,1,1)</f>
        <v>-6.25E-2</v>
      </c>
      <c r="K216" s="146" t="s">
        <v>314</v>
      </c>
      <c r="L216" s="146" t="s">
        <v>180</v>
      </c>
      <c r="M216" s="353">
        <f ca="1">ABS(rF1.WindLoadDesign)*rF1.WallHeight02^2*rF1.WindMomentFactor*rF1.SlabInfluenceWidth/rF1.WallLenght02</f>
        <v>-1.500576923076923</v>
      </c>
      <c r="N216" s="353"/>
      <c r="O216" s="353"/>
      <c r="P216" s="146"/>
      <c r="Q216" s="146"/>
      <c r="R216" s="402"/>
    </row>
    <row r="217" spans="3:18" x14ac:dyDescent="0.2">
      <c r="K217" s="140" t="s">
        <v>315</v>
      </c>
      <c r="L217" s="140"/>
      <c r="M217" s="140"/>
      <c r="N217" s="140"/>
      <c r="O217" s="140"/>
      <c r="P217" s="140"/>
      <c r="Q217" s="141"/>
    </row>
    <row r="218" spans="3:18" x14ac:dyDescent="0.2">
      <c r="K218" s="142" t="s">
        <v>316</v>
      </c>
      <c r="L218" s="142"/>
      <c r="M218" s="143"/>
      <c r="N218" s="143"/>
      <c r="O218" s="143"/>
      <c r="P218" s="143"/>
      <c r="Q218" s="192"/>
      <c r="R218" s="402"/>
    </row>
    <row r="219" spans="3:18" ht="15.75" x14ac:dyDescent="0.2">
      <c r="C219" s="308"/>
      <c r="K219" s="146" t="s">
        <v>242</v>
      </c>
      <c r="L219" s="146" t="s">
        <v>62</v>
      </c>
      <c r="M219" s="257">
        <f>rF1.WallAxForceTop</f>
        <v>53.846153846153847</v>
      </c>
      <c r="N219" s="146"/>
      <c r="O219" s="146"/>
      <c r="P219" s="146"/>
      <c r="Q219" s="146"/>
      <c r="R219" s="405"/>
    </row>
    <row r="220" spans="3:18" ht="15.75" x14ac:dyDescent="0.2">
      <c r="C220" s="308"/>
      <c r="K220" s="266" t="s">
        <v>306</v>
      </c>
      <c r="L220" s="266" t="s">
        <v>57</v>
      </c>
      <c r="M220" s="345">
        <f ca="1">rF1.BendingMomentDecTop</f>
        <v>-6.3452945484194876</v>
      </c>
      <c r="N220" s="266"/>
      <c r="O220" s="266"/>
      <c r="P220" s="266"/>
      <c r="Q220" s="266"/>
      <c r="R220" s="402"/>
    </row>
    <row r="221" spans="3:18" ht="15.75" x14ac:dyDescent="0.2">
      <c r="C221" s="308"/>
      <c r="K221" s="146" t="s">
        <v>317</v>
      </c>
      <c r="L221" s="146" t="s">
        <v>63</v>
      </c>
      <c r="M221" s="354">
        <f ca="1">IF(rF1.WallAxForceTop=0,0,ABS(rF1.BendingMomentDecTop/rF1.WallAxForceTop))</f>
        <v>0.11784118447064762</v>
      </c>
      <c r="N221" s="146"/>
      <c r="O221" s="146"/>
      <c r="P221" s="146"/>
      <c r="Q221" s="146"/>
    </row>
    <row r="222" spans="3:18" ht="15.75" x14ac:dyDescent="0.2">
      <c r="C222" s="308"/>
      <c r="K222" s="266" t="s">
        <v>318</v>
      </c>
      <c r="L222" s="266" t="s">
        <v>142</v>
      </c>
      <c r="M222" s="355">
        <f ca="1">IF(rF1.WallAxForceTop=0,0,ABS(rF1.MomentWindTop/rF1.WallAxForceTop))</f>
        <v>2.7867857142857142E-2</v>
      </c>
      <c r="N222" s="266"/>
      <c r="O222" s="266"/>
      <c r="P222" s="266"/>
      <c r="Q222" s="266"/>
    </row>
    <row r="223" spans="3:18" ht="15.75" x14ac:dyDescent="0.2">
      <c r="C223" s="308"/>
      <c r="K223" s="146" t="s">
        <v>319</v>
      </c>
      <c r="L223" s="146" t="s">
        <v>356</v>
      </c>
      <c r="M223" s="354">
        <f>IF(rF1.CheckBendingMomentSlabTop,rF1.EccentricitySlabLoadTop,0)</f>
        <v>0</v>
      </c>
      <c r="N223" s="146"/>
      <c r="O223" s="146"/>
      <c r="P223" s="146"/>
      <c r="Q223" s="146"/>
      <c r="R223" s="402"/>
    </row>
    <row r="224" spans="3:18" ht="15.75" x14ac:dyDescent="0.2">
      <c r="C224" s="308"/>
      <c r="K224" s="266" t="s">
        <v>320</v>
      </c>
      <c r="L224" s="266" t="s">
        <v>64</v>
      </c>
      <c r="M224" s="355">
        <f>0</f>
        <v>0</v>
      </c>
      <c r="N224" s="266"/>
      <c r="O224" s="266"/>
      <c r="P224" s="266"/>
      <c r="Q224" s="266"/>
      <c r="R224" s="402"/>
    </row>
    <row r="225" spans="3:18" ht="15.75" x14ac:dyDescent="0.2">
      <c r="C225" s="308"/>
      <c r="F225" s="145">
        <f ca="1">rF1.EccentricitySlabTop+rF1.EccentricityWindTop+rF1.EccentricityGeoTop+rF1.EccentricityInitialTop</f>
        <v>0.14570904161350476</v>
      </c>
      <c r="G225" s="145">
        <f ca="1">(rF1.BearingDepthTop02-rF1.WallAxForceTop/(rF1.ReductionMasonryStrenghtArea02*rF1.ReductionMasonryStrengthLongTerm*rF1.MasonryStrenghtChar02*1000/rF1.SafetyFactorMaterial02))/2</f>
        <v>0.15680839444531128</v>
      </c>
      <c r="K225" s="170" t="s">
        <v>555</v>
      </c>
      <c r="L225" s="170" t="s">
        <v>369</v>
      </c>
      <c r="M225" s="356">
        <f ca="1">MAX(IF(rF1.WallAxForceTop/(rF1.ReductionMasonryStrenghtArea02*rF1.ReductionMasonryStrengthLongTerm*rF1.MasonryStrenghtChar02*1000/rF1.SafetyFactorMaterial02)&lt;0.333*rF1.BearingDepthTop02,MIN(rF1.EccentricityTopReg,rF1.EccentricityTopAC5),rF1.EccentricityTopReg),0.05*rF1.BearingDepthTop02)</f>
        <v>0.14570904161350476</v>
      </c>
      <c r="N225" s="357" t="str">
        <f ca="1">IF(rF1.EccentricityTotalTop=rF1.EccentricityTopAC5,rP2.OutputEccentricityAnnexC5,IF(rF1.EccentricityTotalTop=0.05*rF1.BearingDepthTop02,rP2.OutputSmallEccentricity,""))</f>
        <v/>
      </c>
      <c r="O225" s="146"/>
      <c r="P225" s="146"/>
      <c r="Q225" s="146"/>
      <c r="R225" s="402"/>
    </row>
    <row r="226" spans="3:18" ht="15.75" x14ac:dyDescent="0.2">
      <c r="C226" s="308"/>
      <c r="K226" s="311" t="s">
        <v>371</v>
      </c>
      <c r="L226" s="311" t="s">
        <v>370</v>
      </c>
      <c r="M226" s="358">
        <f ca="1">MAX((rF1.EccentricitySlabTop+rF1.EccentricityWindTop+rF1.EccentricityGeoTop+rF1.EccentricityInitialTop),0.05*rF1.BearingDepthTop02)-rF1.EccentricityTotalTop</f>
        <v>0</v>
      </c>
      <c r="N226" s="359"/>
      <c r="O226" s="266"/>
      <c r="P226" s="266"/>
      <c r="Q226" s="266"/>
      <c r="R226" s="402"/>
    </row>
    <row r="227" spans="3:18" ht="15.75" x14ac:dyDescent="0.2">
      <c r="C227" s="308"/>
      <c r="K227" s="146" t="s">
        <v>250</v>
      </c>
      <c r="L227" s="335" t="s">
        <v>65</v>
      </c>
      <c r="M227" s="360">
        <f ca="1">MAX(1-2*rF1.EccentricityTotalTop/rF1.BearingDepthTop02,0)</f>
        <v>0.11691489931209242</v>
      </c>
      <c r="N227" s="335"/>
      <c r="O227" s="146"/>
      <c r="P227" s="335"/>
      <c r="Q227" s="146"/>
      <c r="R227" s="402"/>
    </row>
    <row r="228" spans="3:18" x14ac:dyDescent="0.2">
      <c r="C228" s="308"/>
      <c r="K228" s="278" t="s">
        <v>251</v>
      </c>
      <c r="L228" s="278" t="s">
        <v>593</v>
      </c>
      <c r="M228" s="361">
        <f ca="1">rF1.ReductionEccentricityTop*rF1.ReductionMasonryStrenghtArea02*rF1.ReductionMasonryStrengthLongTerm*rF1.MasonryStrenghtChar02*rF1.BearingDepthTop02/(rF1.SafetyFactorMaterial02)*1000</f>
        <v>126.80589979389545</v>
      </c>
      <c r="N228" s="278"/>
      <c r="O228" s="278"/>
      <c r="P228" s="278"/>
      <c r="Q228" s="278"/>
      <c r="R228" s="402"/>
    </row>
    <row r="229" spans="3:18" x14ac:dyDescent="0.2">
      <c r="C229" s="308"/>
      <c r="K229" s="276" t="s">
        <v>252</v>
      </c>
      <c r="L229" s="282" t="s">
        <v>532</v>
      </c>
      <c r="M229" s="288">
        <f ca="1">IF(rF1.AxResistanceTop=0,"Inf.",rF1.WallAxForceTop/rF1.AxResistanceTop)</f>
        <v>0.42463445260569849</v>
      </c>
      <c r="N229" s="282"/>
      <c r="O229" s="276"/>
      <c r="P229" s="282"/>
      <c r="Q229" s="276"/>
      <c r="R229" s="402"/>
    </row>
    <row r="230" spans="3:18" ht="15.75" x14ac:dyDescent="0.2">
      <c r="C230" s="308"/>
      <c r="K230" s="266" t="s">
        <v>528</v>
      </c>
      <c r="L230" s="362" t="s">
        <v>533</v>
      </c>
      <c r="M230" s="327">
        <f ca="1">IF(OR(rF1.FireResNN,rF1.CheckFireResColumn),"-",IF(rF1.WallSlenderness02&lt;=rP1.LimitSlendernessKappa,15/(1.14-0.024*rF1.WallSlenderness02),(25-rF1.WallSlenderness02)/(1.14-0.024*rF1.WallSlenderness02)))</f>
        <v>16.367713004484308</v>
      </c>
      <c r="N230" s="279"/>
      <c r="O230" s="278"/>
      <c r="P230" s="279"/>
      <c r="Q230" s="278"/>
      <c r="R230" s="402"/>
    </row>
    <row r="231" spans="3:18" ht="15.75" x14ac:dyDescent="0.2">
      <c r="C231" s="308"/>
      <c r="G231" s="380">
        <f ca="1">IF(OR(rF1.FireResNN,rF1.CheckFireResColumn,rF1.CheckFireResManual02),"-",rF1.LoadFactorTopFireReduced*rF1.AxResistanceTop)</f>
        <v>37.692307692307693</v>
      </c>
      <c r="K231" s="170" t="s">
        <v>527</v>
      </c>
      <c r="L231" s="284" t="s">
        <v>534</v>
      </c>
      <c r="M231" s="363">
        <f ca="1">IF(OR(rF1.FireResNN,rF1.CheckFireResColumn,rF1.CheckFireResManual02),"-",IF(rF1.AxResistanceTop=0,"Inf.",rF1.LoadFactorTop*0.7))</f>
        <v>0.29724411682398894</v>
      </c>
      <c r="N231" s="364">
        <f ca="1">IF(OR(rF1.FireResNN,rF1.CheckFireResColumn,rF1.CheckFireResManual02),"",rF1.LoadFactorTopFireReduced*rF1.AxResistanceTop)</f>
        <v>37.692307692307693</v>
      </c>
      <c r="O231" s="365"/>
      <c r="P231" s="366"/>
      <c r="Q231" s="365"/>
      <c r="R231" s="402"/>
    </row>
    <row r="232" spans="3:18" ht="15.75" x14ac:dyDescent="0.2">
      <c r="C232" s="308">
        <f ca="1">OFFSET(rL6.FireResClassList,rF1.FireResClassSelection-1,1,1,1)</f>
        <v>16</v>
      </c>
      <c r="G232" s="380">
        <f ca="1">IF(OR(rF1.FireResNN,rF1.CheckFireResColumn,rF1.CheckFireResManual02),"-",rF1.LoadFactorTopFireMax*rF1.AxResistanceTop)</f>
        <v>59.598772903130858</v>
      </c>
      <c r="K232" s="266" t="s">
        <v>525</v>
      </c>
      <c r="L232" s="286" t="s">
        <v>535</v>
      </c>
      <c r="M232" s="327">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0.47</v>
      </c>
      <c r="N232" s="367">
        <f ca="1">IF(OR(rF1.FireResNN,rF1.CheckFireResColumn,rF1.CheckFireResManual02),"",rF1.LoadFactorTopFireMax*rF1.AxResistanceTop)</f>
        <v>59.598772903130858</v>
      </c>
      <c r="O232" s="278"/>
      <c r="P232" s="279"/>
      <c r="Q232" s="278"/>
      <c r="R232" s="402"/>
    </row>
    <row r="233" spans="3:18" x14ac:dyDescent="0.2">
      <c r="C233" s="313"/>
      <c r="K233" s="365" t="s">
        <v>529</v>
      </c>
      <c r="L233" s="366" t="s">
        <v>536</v>
      </c>
      <c r="M233" s="368">
        <f ca="1">IF(rF1.FireResNN,rP2.OutputFireResNN,IF(OR(rF1.CheckFireResColumn,rF1.CheckFireResManual02),"-",IF(OR(rF1.LoadFactorTopFireMax=0,rF1.AxResistanceTop=0),"Inf.",rF1.LoadFactorTop*0.7/rF1.LoadFactorTopFireMax)))</f>
        <v>0.63243429111487015</v>
      </c>
      <c r="N233" s="365" t="str">
        <f ca="1">IF(rF1.CheckFireResManual02,rP2.OutputFireProofManual02,IF(rF1.CheckFireResColumn,rP2.FireProofManual,IF(rF1.LoadFactorTopFireMax=0,rP2.OutputFireResClassFail,"")))</f>
        <v/>
      </c>
      <c r="O233" s="365"/>
      <c r="P233" s="366"/>
      <c r="Q233" s="365"/>
      <c r="R233" s="402"/>
    </row>
    <row r="234" spans="3:18" x14ac:dyDescent="0.2">
      <c r="K234" s="142" t="s">
        <v>321</v>
      </c>
      <c r="L234" s="142"/>
      <c r="M234" s="143"/>
      <c r="N234" s="143"/>
      <c r="O234" s="143"/>
      <c r="P234" s="143"/>
      <c r="Q234" s="192"/>
      <c r="R234" s="406"/>
    </row>
    <row r="235" spans="3:18" ht="15.75" x14ac:dyDescent="0.2">
      <c r="C235" s="194"/>
      <c r="K235" s="146" t="s">
        <v>243</v>
      </c>
      <c r="L235" s="146" t="s">
        <v>33</v>
      </c>
      <c r="M235" s="257">
        <f ca="1">rF1.WallAxForceMiddle</f>
        <v>61.956804333653849</v>
      </c>
      <c r="N235" s="146"/>
      <c r="O235" s="146"/>
      <c r="P235" s="146"/>
      <c r="Q235" s="146"/>
      <c r="R235" s="406"/>
    </row>
    <row r="236" spans="3:18" ht="15.75" x14ac:dyDescent="0.2">
      <c r="C236" s="308"/>
      <c r="K236" s="266" t="s">
        <v>322</v>
      </c>
      <c r="L236" s="266" t="s">
        <v>66</v>
      </c>
      <c r="M236" s="355">
        <f ca="1">IF(OR(rF1.CheckBendingMomentSlabTop,rF1.CheckBendingMomentSlabBottom),(rF1.EccentricitySlabLoadTop+rF1.EccentricitySlabLoadBottom)/2,(2*rF1.WallThickness02-rF1.BearingDepthTop02-rF1.BearingDepthBottom02)/4)</f>
        <v>1.7499999999999988E-2</v>
      </c>
      <c r="N236" s="266"/>
      <c r="O236" s="266"/>
      <c r="P236" s="266"/>
      <c r="Q236" s="266"/>
      <c r="R236" s="406"/>
    </row>
    <row r="237" spans="3:18" ht="15.75" x14ac:dyDescent="0.2">
      <c r="C237" s="308"/>
      <c r="K237" s="170" t="s">
        <v>371</v>
      </c>
      <c r="L237" s="170" t="s">
        <v>372</v>
      </c>
      <c r="M237" s="356">
        <f ca="1">((rF1.EccentricityShiftC5Bottom*rF1.WallAxForceBottom-rF1.EccentricityShiftC5Top*rF1.WallAxForceTop)/2)/rF1.WallAxForceMiddle</f>
        <v>0</v>
      </c>
      <c r="N237" s="146"/>
      <c r="O237" s="146"/>
      <c r="P237" s="146"/>
      <c r="Q237" s="146"/>
      <c r="R237" s="407"/>
    </row>
    <row r="238" spans="3:18" ht="15.75" x14ac:dyDescent="0.2">
      <c r="C238" s="308"/>
      <c r="K238" s="266" t="s">
        <v>317</v>
      </c>
      <c r="L238" s="266" t="s">
        <v>67</v>
      </c>
      <c r="M238" s="355">
        <f ca="1">IF(rF1.WallAxForceMiddle=0,0,ABS(rF1.BendingMomentDecMiddle/rF1.WallAxForceMiddle))</f>
        <v>1.9716072841409551E-2</v>
      </c>
      <c r="N238" s="266"/>
      <c r="O238" s="266"/>
      <c r="P238" s="266"/>
      <c r="Q238" s="266"/>
      <c r="R238" s="406"/>
    </row>
    <row r="239" spans="3:18" ht="15.75" x14ac:dyDescent="0.2">
      <c r="C239" s="308"/>
      <c r="K239" s="146" t="s">
        <v>318</v>
      </c>
      <c r="L239" s="146" t="s">
        <v>143</v>
      </c>
      <c r="M239" s="354">
        <f ca="1">IF(rF1.WallAxForceMiddle=0,0,ABS(rF1.MomentWindMiddle/rF1.WallAxForceMiddle))</f>
        <v>2.4219727586269908E-2</v>
      </c>
      <c r="N239" s="146"/>
      <c r="O239" s="146"/>
      <c r="P239" s="146"/>
      <c r="Q239" s="146"/>
      <c r="R239" s="407"/>
    </row>
    <row r="240" spans="3:18" ht="15.75" x14ac:dyDescent="0.2">
      <c r="C240" s="308"/>
      <c r="K240" s="266" t="s">
        <v>320</v>
      </c>
      <c r="L240" s="266" t="s">
        <v>64</v>
      </c>
      <c r="M240" s="355">
        <f ca="1">rF1.WallHeightBuckling/450</f>
        <v>7.5555555555555549E-3</v>
      </c>
      <c r="N240" s="266"/>
      <c r="O240" s="266"/>
      <c r="P240" s="266"/>
      <c r="Q240" s="266"/>
    </row>
    <row r="241" spans="1:35" ht="15.75" x14ac:dyDescent="0.2">
      <c r="C241" s="308"/>
      <c r="K241" s="170" t="s">
        <v>323</v>
      </c>
      <c r="L241" s="146" t="s">
        <v>68</v>
      </c>
      <c r="M241" s="354">
        <f ca="1">rF1.EccentricitySystemMiddle+rF1.EccentricityShiftC5Middle+rF1.EccentricitySlabMiddle+rF1.EccentricityWindMiddle+rF1.EccentricityInitialMiddle</f>
        <v>6.8991355983234998E-2</v>
      </c>
      <c r="N241" s="369"/>
      <c r="O241" s="146"/>
      <c r="P241" s="146"/>
      <c r="Q241" s="146"/>
      <c r="R241" s="402"/>
    </row>
    <row r="242" spans="1:35" ht="15.75" x14ac:dyDescent="0.2">
      <c r="C242" s="308"/>
      <c r="K242" s="266" t="s">
        <v>324</v>
      </c>
      <c r="L242" s="266" t="s">
        <v>69</v>
      </c>
      <c r="M242" s="355">
        <f ca="1">IF(rF1.WallSlenderness02&lt;=rP1.MaxSlendernessCreepEcc,0,0.002*rP1.CreepCoefficient*rF1.WallHeightBuckling/rF1.WallThickness02*SQRT(rF1.WallThickness02*rF1.EccentricityLoadsMiddle))</f>
        <v>0</v>
      </c>
      <c r="N242" s="347" t="str">
        <f ca="1">IF(rF1.WallSlenderness02&lt;=rP1.MaxSlendernessCreepEcc,"λc ≤ "&amp;rP1.MaxSlendernessCreepEcc,"")</f>
        <v>λc ≤ 15</v>
      </c>
      <c r="O242" s="266"/>
      <c r="P242" s="266"/>
      <c r="Q242" s="266"/>
      <c r="R242" s="402"/>
    </row>
    <row r="243" spans="1:35" ht="15.75" x14ac:dyDescent="0.2">
      <c r="C243" s="308"/>
      <c r="K243" s="146" t="s">
        <v>325</v>
      </c>
      <c r="L243" s="146" t="s">
        <v>70</v>
      </c>
      <c r="M243" s="354">
        <f ca="1">MAX(rF1.EccentricityLoadsMiddle+rF1.EccentricityCreepMiddle,0.05*rF1.WallThickness02)</f>
        <v>6.8991355983234998E-2</v>
      </c>
      <c r="N243" s="218" t="str">
        <f ca="1">IF(rF1.EccentricityTotalMiddle=0.05*rF1.WallThickness02,rP2.OutputSmallEccentricityMiddle,"")</f>
        <v/>
      </c>
      <c r="O243" s="146"/>
      <c r="P243" s="146"/>
      <c r="Q243" s="146"/>
      <c r="R243" s="402"/>
    </row>
    <row r="244" spans="1:35" ht="15.75" x14ac:dyDescent="0.2">
      <c r="C244" s="308"/>
      <c r="K244" s="266" t="s">
        <v>278</v>
      </c>
      <c r="L244" s="266" t="s">
        <v>71</v>
      </c>
      <c r="M244" s="370">
        <f ca="1">rF1.WallHeightEffective</f>
        <v>3.4</v>
      </c>
      <c r="N244" s="266"/>
      <c r="O244" s="266"/>
      <c r="P244" s="266"/>
      <c r="Q244" s="266"/>
      <c r="R244" s="402"/>
    </row>
    <row r="245" spans="1:35" ht="15.75" x14ac:dyDescent="0.2">
      <c r="C245" s="308"/>
      <c r="F245" s="145">
        <f ca="1">MAX(1.14*(1-2*rF1.EccentricityTotalMiddle/rF1.WallThickness02)-0.024*rF1.WallHeightEffective/rF1.WallThickness02,0)</f>
        <v>0.4854786530362305</v>
      </c>
      <c r="G245" s="145">
        <f ca="1">MAX(1-2*rF1.EccentricityTotalMiddle/rF1.WallThickness02,0)</f>
        <v>0.62196517269460272</v>
      </c>
      <c r="K245" s="146" t="s">
        <v>250</v>
      </c>
      <c r="L245" s="335" t="s">
        <v>72</v>
      </c>
      <c r="M245" s="360">
        <f ca="1">MIN(rF1.ReductionEccMiddle01,rF1.ReductionEccMiddle02)</f>
        <v>0.4854786530362305</v>
      </c>
      <c r="N245" s="335"/>
      <c r="O245" s="146"/>
      <c r="P245" s="335"/>
      <c r="Q245" s="146"/>
      <c r="R245" s="402"/>
    </row>
    <row r="246" spans="1:35" x14ac:dyDescent="0.2">
      <c r="C246" s="308"/>
      <c r="K246" s="278" t="s">
        <v>251</v>
      </c>
      <c r="L246" s="278" t="s">
        <v>592</v>
      </c>
      <c r="M246" s="361">
        <f ca="1">rF1.ReductionEccentricityMiddle*rF1.ReductionMasonryStrenghtArea02*rF1.ReductionMasonryStrengthLongTerm*rF1.MasonryStrenghtChar02*rF1.WallThickness02/rF1.SafetyFactorMaterial02*1000</f>
        <v>582.39637480402985</v>
      </c>
      <c r="N246" s="278"/>
      <c r="O246" s="278"/>
      <c r="P246" s="278"/>
      <c r="Q246" s="278"/>
      <c r="R246" s="402"/>
    </row>
    <row r="247" spans="1:35" x14ac:dyDescent="0.2">
      <c r="C247" s="308"/>
      <c r="K247" s="276" t="s">
        <v>252</v>
      </c>
      <c r="L247" s="282" t="s">
        <v>537</v>
      </c>
      <c r="M247" s="288">
        <f ca="1">IF(rF1.AxResistanceMiddle=0,"Inf.",rF1.WallAxForceMiddle/rF1.AxResistanceMiddle)</f>
        <v>0.10638253775961716</v>
      </c>
      <c r="N247" s="282"/>
      <c r="O247" s="276"/>
      <c r="P247" s="282"/>
      <c r="Q247" s="276"/>
      <c r="R247" s="402"/>
    </row>
    <row r="248" spans="1:35" ht="15.75" x14ac:dyDescent="0.2">
      <c r="C248" s="308"/>
      <c r="K248" s="266" t="s">
        <v>528</v>
      </c>
      <c r="L248" s="362" t="s">
        <v>538</v>
      </c>
      <c r="M248" s="327">
        <f ca="1">IF(OR(rF1.FireResNN,rF1.CheckFireResColumn),"-",IF(rF1.WallSlenderness02&lt;=rP1.LimitSlendernessKappa,15/(1.14-0.024*rF1.WallSlenderness02),(25-rF1.WallSlenderness02)/(1.14-0.024*rF1.WallSlenderness02)))</f>
        <v>16.367713004484308</v>
      </c>
      <c r="N248" s="279"/>
      <c r="O248" s="278"/>
      <c r="P248" s="279"/>
      <c r="Q248" s="278"/>
      <c r="R248" s="402"/>
    </row>
    <row r="249" spans="1:35" ht="15.75" x14ac:dyDescent="0.2">
      <c r="C249" s="308"/>
      <c r="G249" s="380">
        <f ca="1">IF(OR(rF1.FireResNN,rF1.CheckFireResColumn,rF1.CheckFireResManual02),"-",rF1.LoadFactorMiddleFireReduced*rF1.AxResistanceMiddle)</f>
        <v>43.369763033557696</v>
      </c>
      <c r="K249" s="170" t="s">
        <v>527</v>
      </c>
      <c r="L249" s="284" t="s">
        <v>539</v>
      </c>
      <c r="M249" s="363">
        <f ca="1">IF(OR(rF1.FireResNN,rF1.CheckFireResColumn,rF1.CheckFireResManual02),"-",IF(rF1.AxResistanceMiddle=0,"Inf.",rF1.LoadFactorMiddle*0.7))</f>
        <v>7.4467776431732011E-2</v>
      </c>
      <c r="N249" s="364">
        <f ca="1">IF(OR(rF1.FireResNN,rF1.CheckFireResColumn,rF1.CheckFireResManual02),"",rF1.LoadFactorMiddleFireReduced*rF1.AxResistanceMiddle)</f>
        <v>43.369763033557696</v>
      </c>
      <c r="O249" s="365"/>
      <c r="P249" s="366"/>
      <c r="Q249" s="365"/>
      <c r="R249" s="402"/>
    </row>
    <row r="250" spans="1:35" ht="15.75" x14ac:dyDescent="0.2">
      <c r="C250" s="308">
        <f ca="1">OFFSET(rL6.FireResClassList,rF1.FireResClassSelection-1,1,1,1)</f>
        <v>16</v>
      </c>
      <c r="G250" s="380">
        <f ca="1">IF(OR(rF1.FireResNN,rF1.CheckFireResColumn,rF1.CheckFireResManual02),"-",rF1.LoadFactorMiddleFireMax*rF1.AxResistanceMiddle)</f>
        <v>273.72629615789401</v>
      </c>
      <c r="K250" s="266" t="s">
        <v>525</v>
      </c>
      <c r="L250" s="286" t="s">
        <v>540</v>
      </c>
      <c r="M250" s="327">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0.47</v>
      </c>
      <c r="N250" s="367">
        <f ca="1">IF(OR(rF1.FireResNN,rF1.CheckFireResColumn,rF1.CheckFireResManual02),"",rF1.LoadFactorMiddleFireMax*rF1.AxResistanceMiddle)</f>
        <v>273.72629615789401</v>
      </c>
      <c r="O250" s="278"/>
      <c r="P250" s="279"/>
      <c r="Q250" s="278"/>
      <c r="R250" s="402"/>
    </row>
    <row r="251" spans="1:35" x14ac:dyDescent="0.2">
      <c r="C251" s="313"/>
      <c r="K251" s="365" t="s">
        <v>529</v>
      </c>
      <c r="L251" s="366" t="s">
        <v>541</v>
      </c>
      <c r="M251" s="368">
        <f ca="1">IF(rF1.FireResNN,rP2.OutputFireResNN,IF(OR(rF1.CheckFireResColumn,rF1.CheckFireResManual02),"-",IF(OR(rF1.LoadFactorMiddleFireMax=0,rF1.AxResistanceMiddle=0),"Inf.",rF1.LoadFactorMiddle*0.7/rF1.LoadFactorMiddleFireMax)))</f>
        <v>0.15844207751432343</v>
      </c>
      <c r="N251" s="365" t="str">
        <f ca="1">IF(rF1.CheckFireResManual02,rP2.OutputFireProofManual02,IF(rF1.CheckFireResColumn,rP2.FireProofManual,IF(rF1.LoadFactorMiddleFireMax=0,rP2.OutputFireResClassFail,"")))</f>
        <v/>
      </c>
      <c r="O251" s="365"/>
      <c r="P251" s="366"/>
      <c r="Q251" s="365"/>
      <c r="R251" s="402"/>
    </row>
    <row r="252" spans="1:35" x14ac:dyDescent="0.2">
      <c r="K252" s="142" t="s">
        <v>326</v>
      </c>
      <c r="L252" s="142"/>
      <c r="M252" s="143"/>
      <c r="N252" s="143"/>
      <c r="O252" s="143"/>
      <c r="P252" s="143"/>
      <c r="Q252" s="192"/>
      <c r="R252" s="406"/>
    </row>
    <row r="253" spans="1:35" ht="15.75" x14ac:dyDescent="0.2">
      <c r="C253" s="194"/>
      <c r="K253" s="146" t="s">
        <v>244</v>
      </c>
      <c r="L253" s="146" t="s">
        <v>34</v>
      </c>
      <c r="M253" s="257">
        <f ca="1">rF1.WallAxForceBottom</f>
        <v>70.067454821153845</v>
      </c>
      <c r="N253" s="146"/>
      <c r="O253" s="146"/>
      <c r="P253" s="146"/>
      <c r="Q253" s="146"/>
      <c r="R253" s="406"/>
    </row>
    <row r="254" spans="1:35" ht="15.75" x14ac:dyDescent="0.2">
      <c r="C254" s="308"/>
      <c r="K254" s="266" t="s">
        <v>306</v>
      </c>
      <c r="L254" s="266" t="s">
        <v>57</v>
      </c>
      <c r="M254" s="345">
        <f ca="1">rF1.BendingMomentDecBottom</f>
        <v>3.9022048138929311</v>
      </c>
      <c r="N254" s="266"/>
      <c r="O254" s="266"/>
      <c r="P254" s="266"/>
      <c r="Q254" s="266"/>
      <c r="R254" s="406"/>
    </row>
    <row r="255" spans="1:35" s="281" customFormat="1" ht="15.75" x14ac:dyDescent="0.2">
      <c r="A255" s="116"/>
      <c r="B255" s="116"/>
      <c r="C255" s="308"/>
      <c r="D255" s="116"/>
      <c r="E255" s="116"/>
      <c r="F255" s="116"/>
      <c r="G255" s="116"/>
      <c r="H255" s="116"/>
      <c r="I255" s="116"/>
      <c r="J255" s="116"/>
      <c r="K255" s="146" t="s">
        <v>317</v>
      </c>
      <c r="L255" s="146" t="s">
        <v>73</v>
      </c>
      <c r="M255" s="354">
        <f ca="1">IF(rF1.WallAxForceBottom=0,0,ABS(rF1.BendingMomentDecBottom/rF1.WallAxForceBottom))</f>
        <v>5.5692115888228734E-2</v>
      </c>
      <c r="N255" s="146"/>
      <c r="O255" s="146"/>
      <c r="P255" s="146"/>
      <c r="Q255" s="146"/>
      <c r="R255" s="407"/>
      <c r="T255" s="371"/>
      <c r="U255" s="371"/>
      <c r="V255" s="371"/>
      <c r="W255" s="371"/>
      <c r="X255" s="371"/>
      <c r="Y255" s="371"/>
      <c r="Z255" s="371"/>
      <c r="AA255" s="371"/>
      <c r="AB255" s="371"/>
      <c r="AC255" s="371"/>
      <c r="AD255" s="371"/>
      <c r="AE255" s="371"/>
      <c r="AF255" s="371"/>
      <c r="AG255" s="371"/>
      <c r="AH255" s="371"/>
      <c r="AI255" s="371"/>
    </row>
    <row r="256" spans="1:35" s="281" customFormat="1" ht="15.75" x14ac:dyDescent="0.2">
      <c r="A256" s="116"/>
      <c r="B256" s="116"/>
      <c r="C256" s="308"/>
      <c r="D256" s="116"/>
      <c r="E256" s="116"/>
      <c r="F256" s="116"/>
      <c r="G256" s="116"/>
      <c r="H256" s="116"/>
      <c r="I256" s="116"/>
      <c r="J256" s="116"/>
      <c r="K256" s="266" t="s">
        <v>318</v>
      </c>
      <c r="L256" s="266" t="s">
        <v>144</v>
      </c>
      <c r="M256" s="355">
        <f ca="1">IF(rF1.WallAxForceBottom=0,0,ABS(rF1.MomentWindBottom/rF1.WallAxForceBottom))</f>
        <v>2.1416175696792807E-2</v>
      </c>
      <c r="N256" s="266"/>
      <c r="O256" s="266"/>
      <c r="P256" s="266"/>
      <c r="Q256" s="266"/>
      <c r="R256" s="406"/>
      <c r="T256" s="371"/>
      <c r="U256" s="371"/>
      <c r="V256" s="371"/>
      <c r="W256" s="371"/>
      <c r="X256" s="371"/>
      <c r="Y256" s="371"/>
      <c r="Z256" s="371"/>
      <c r="AA256" s="371"/>
      <c r="AB256" s="371"/>
      <c r="AC256" s="371"/>
      <c r="AD256" s="371"/>
      <c r="AE256" s="371"/>
      <c r="AF256" s="371"/>
      <c r="AG256" s="371"/>
      <c r="AH256" s="371"/>
      <c r="AI256" s="371"/>
    </row>
    <row r="257" spans="1:35" s="281" customFormat="1" ht="15.75" x14ac:dyDescent="0.2">
      <c r="A257" s="116"/>
      <c r="B257" s="116"/>
      <c r="C257" s="308"/>
      <c r="D257" s="116"/>
      <c r="E257" s="116"/>
      <c r="F257" s="116"/>
      <c r="G257" s="116"/>
      <c r="H257" s="116"/>
      <c r="I257" s="116"/>
      <c r="J257" s="116"/>
      <c r="K257" s="146" t="s">
        <v>319</v>
      </c>
      <c r="L257" s="146" t="s">
        <v>357</v>
      </c>
      <c r="M257" s="354">
        <f>IF(rF1.CheckBendingMomentSlabBottom,ABS(rF1.EccentricitySlabLoadBottom),0)</f>
        <v>0</v>
      </c>
      <c r="N257" s="146"/>
      <c r="O257" s="146"/>
      <c r="P257" s="146"/>
      <c r="Q257" s="146"/>
      <c r="R257" s="407"/>
      <c r="T257" s="371"/>
      <c r="U257" s="371"/>
      <c r="V257" s="371"/>
      <c r="W257" s="371"/>
      <c r="X257" s="371"/>
      <c r="Y257" s="371"/>
      <c r="Z257" s="371"/>
      <c r="AA257" s="371"/>
      <c r="AB257" s="371"/>
      <c r="AC257" s="371"/>
      <c r="AD257" s="371"/>
      <c r="AE257" s="371"/>
      <c r="AF257" s="371"/>
      <c r="AG257" s="371"/>
      <c r="AH257" s="371"/>
      <c r="AI257" s="371"/>
    </row>
    <row r="258" spans="1:35" s="281" customFormat="1" ht="15.75" x14ac:dyDescent="0.2">
      <c r="A258" s="116"/>
      <c r="B258" s="116"/>
      <c r="C258" s="308"/>
      <c r="D258" s="116"/>
      <c r="E258" s="116"/>
      <c r="F258" s="116"/>
      <c r="G258" s="116"/>
      <c r="H258" s="116"/>
      <c r="I258" s="116"/>
      <c r="J258" s="116"/>
      <c r="K258" s="266" t="s">
        <v>320</v>
      </c>
      <c r="L258" s="266" t="s">
        <v>64</v>
      </c>
      <c r="M258" s="355">
        <f>0</f>
        <v>0</v>
      </c>
      <c r="N258" s="266"/>
      <c r="O258" s="266"/>
      <c r="P258" s="266"/>
      <c r="Q258" s="266"/>
      <c r="R258" s="400"/>
      <c r="T258" s="371"/>
      <c r="U258" s="371"/>
      <c r="V258" s="371"/>
      <c r="W258" s="371"/>
      <c r="X258" s="371"/>
      <c r="Y258" s="371"/>
      <c r="Z258" s="371"/>
      <c r="AA258" s="371"/>
      <c r="AB258" s="371"/>
      <c r="AC258" s="371"/>
      <c r="AD258" s="371"/>
      <c r="AE258" s="371"/>
      <c r="AF258" s="371"/>
      <c r="AG258" s="371"/>
      <c r="AH258" s="371"/>
      <c r="AI258" s="371"/>
    </row>
    <row r="259" spans="1:35" ht="15.75" x14ac:dyDescent="0.2">
      <c r="C259" s="308"/>
      <c r="F259" s="145">
        <f ca="1">rF1.EccentricitySlabBottom+rF1.EccentricityWindBottom+rF1.EccentricityGeoBottom+rF1.EccentricityInitialBottom</f>
        <v>7.7108291585021541E-2</v>
      </c>
      <c r="G259" s="145">
        <f ca="1">(rF1.BearingDepthBottom02-rF1.WallAxForceBottom/(rF1.ReductionMasonryStrenghtArea02*rF1.ReductionMasonryStrengthLongTerm*rF1.MasonryStrenghtChar02*1000/rF1.SafetyFactorMaterial02))/2</f>
        <v>0.15434065088927681</v>
      </c>
      <c r="K259" s="170" t="s">
        <v>556</v>
      </c>
      <c r="L259" s="146" t="s">
        <v>74</v>
      </c>
      <c r="M259" s="356">
        <f ca="1">MAX(IF(rF1.WallAxForceBottom/(rF1.ReductionMasonryStrenghtArea02*rF1.ReductionMasonryStrengthLongTerm*rF1.MasonryStrenghtChar02*1000/rF1.SafetyFactorMaterial02)&lt;0.333*rF1.BearingDepthBottom02,MIN(rF1.EccentricityBottomReg,rF1.EccentricityBottomAC5),rF1.EccentricityBottomReg),0.05*rF1.BearingDepthBottom02)</f>
        <v>7.7108291585021541E-2</v>
      </c>
      <c r="N259" s="357" t="str">
        <f ca="1">IF(rF1.EccentricityTotalBottom=rF1.EccentricityBottomAC5,rP2.OutputEccentricityAnnexC5,IF(rF1.EccentricityTotalBottom=0.05*rF1.BearingDepthBottom02,rP2.OutputSmallEccentricity,""))</f>
        <v/>
      </c>
      <c r="O259" s="146"/>
      <c r="P259" s="146"/>
      <c r="Q259" s="146"/>
      <c r="R259" s="402"/>
    </row>
    <row r="260" spans="1:35" ht="15.75" x14ac:dyDescent="0.2">
      <c r="C260" s="308"/>
      <c r="K260" s="311" t="s">
        <v>371</v>
      </c>
      <c r="L260" s="311" t="s">
        <v>373</v>
      </c>
      <c r="M260" s="358">
        <f ca="1">MAX((rF1.EccentricitySlabBottom+rF1.EccentricityWindBottom+rF1.EccentricityGeoBottom+rF1.EccentricityInitialBottom),0.05*rF1.BearingDepthBottom02)-rF1.EccentricityTotalBottom</f>
        <v>0</v>
      </c>
      <c r="N260" s="372"/>
      <c r="O260" s="266"/>
      <c r="P260" s="266"/>
      <c r="Q260" s="266"/>
      <c r="R260" s="402"/>
    </row>
    <row r="261" spans="1:35" ht="15.75" x14ac:dyDescent="0.2">
      <c r="C261" s="308"/>
      <c r="K261" s="146" t="s">
        <v>250</v>
      </c>
      <c r="L261" s="335" t="s">
        <v>75</v>
      </c>
      <c r="M261" s="360">
        <f ca="1">MAX(1-2*rF1.EccentricityTotalBottom/rF1.BearingDepthBottom02,0)</f>
        <v>0.5326770206968392</v>
      </c>
      <c r="N261" s="335"/>
      <c r="O261" s="146"/>
      <c r="P261" s="335"/>
      <c r="Q261" s="146"/>
      <c r="R261" s="402"/>
    </row>
    <row r="262" spans="1:35" x14ac:dyDescent="0.2">
      <c r="C262" s="308"/>
      <c r="K262" s="278" t="s">
        <v>251</v>
      </c>
      <c r="L262" s="278" t="s">
        <v>591</v>
      </c>
      <c r="M262" s="361">
        <f ca="1">rF1.ReductionEccentricityBottom*rF1.ReductionMasonryStrenghtArea02*rF1.ReductionMasonryStrengthLongTerm*rF1.MasonryStrenghtChar02*rF1.BearingDepthBottom02/rF1.SafetyFactorMaterial02*1000</f>
        <v>577.74149664779168</v>
      </c>
      <c r="N262" s="278"/>
      <c r="O262" s="278"/>
      <c r="P262" s="278"/>
      <c r="Q262" s="278"/>
      <c r="R262" s="402"/>
    </row>
    <row r="263" spans="1:35" x14ac:dyDescent="0.2">
      <c r="C263" s="308"/>
      <c r="K263" s="276" t="s">
        <v>252</v>
      </c>
      <c r="L263" s="282" t="s">
        <v>542</v>
      </c>
      <c r="M263" s="288">
        <f ca="1">IF(rF1.AxResistanceBottom=0,"Inf.",rF1.WallAxForceBottom/rF1.AxResistanceBottom)</f>
        <v>0.12127821045866304</v>
      </c>
      <c r="N263" s="282"/>
      <c r="O263" s="276"/>
      <c r="P263" s="282"/>
      <c r="Q263" s="276"/>
      <c r="R263" s="402"/>
    </row>
    <row r="264" spans="1:35" ht="15.75" x14ac:dyDescent="0.2">
      <c r="C264" s="308"/>
      <c r="K264" s="266" t="s">
        <v>528</v>
      </c>
      <c r="L264" s="362" t="s">
        <v>543</v>
      </c>
      <c r="M264" s="327">
        <f ca="1">IF(OR(rF1.FireResNN,rF1.CheckFireResColumn),"-",IF(rF1.WallSlenderness02&lt;=rP1.LimitSlendernessKappa,15/(1.14-0.024*rF1.WallSlenderness02),(25-rF1.WallSlenderness02)/(1.14-0.024*rF1.WallSlenderness02)))</f>
        <v>16.367713004484308</v>
      </c>
      <c r="N264" s="279"/>
      <c r="O264" s="278"/>
      <c r="P264" s="279"/>
      <c r="Q264" s="278"/>
      <c r="R264" s="402"/>
    </row>
    <row r="265" spans="1:35" ht="15.75" x14ac:dyDescent="0.2">
      <c r="C265" s="308"/>
      <c r="G265" s="380">
        <f ca="1">IF(OR(rF1.FireResNN,rF1.CheckFireResColumn,rF1.CheckFireResManual02),"-",rF1.LoadFactorBottomFireReduced*rF1.AxResistanceBottom)</f>
        <v>49.047218374807692</v>
      </c>
      <c r="K265" s="170" t="s">
        <v>527</v>
      </c>
      <c r="L265" s="284" t="s">
        <v>544</v>
      </c>
      <c r="M265" s="326">
        <f ca="1">IF(OR(rF1.FireResNN,rF1.CheckFireResColumn,rF1.CheckFireResManual02),"-",IF(rF1.AxResistanceBottom=0,"Inf.",rF1.LoadFactorBottom*0.7))</f>
        <v>8.4894747321064126E-2</v>
      </c>
      <c r="N265" s="364">
        <f ca="1">IF(OR(rF1.FireResNN,rF1.CheckFireResColumn,rF1.CheckFireResManual02),"",rF1.LoadFactorBottomFireReduced*rF1.AxResistanceBottom)</f>
        <v>49.047218374807692</v>
      </c>
      <c r="O265" s="276"/>
      <c r="P265" s="282"/>
      <c r="Q265" s="276"/>
      <c r="R265" s="402"/>
    </row>
    <row r="266" spans="1:35" ht="15.75" x14ac:dyDescent="0.2">
      <c r="C266" s="308">
        <f ca="1">OFFSET(rL6.FireResClassList,rF1.FireResClassSelection-1,1,1,1)</f>
        <v>16</v>
      </c>
      <c r="G266" s="380">
        <f ca="1">IF(OR(rF1.FireResNN,rF1.CheckFireResColumn,rF1.CheckFireResManual02),"-",rF1.LoadFactorBottomFireMax*rF1.AxResistanceBottom)</f>
        <v>271.53850342446208</v>
      </c>
      <c r="K266" s="266" t="s">
        <v>525</v>
      </c>
      <c r="L266" s="286" t="s">
        <v>545</v>
      </c>
      <c r="M266" s="327">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0.47</v>
      </c>
      <c r="N266" s="367">
        <f ca="1">IF(OR(rF1.FireResNN,rF1.CheckFireResColumn,rF1.CheckFireResManual02),"",rF1.LoadFactorBottomFireMax*rF1.AxResistanceBottom)</f>
        <v>271.53850342446208</v>
      </c>
      <c r="O266" s="278"/>
      <c r="P266" s="279"/>
      <c r="Q266" s="278"/>
      <c r="R266" s="402"/>
    </row>
    <row r="267" spans="1:35" x14ac:dyDescent="0.2">
      <c r="C267" s="313"/>
      <c r="K267" s="276" t="s">
        <v>529</v>
      </c>
      <c r="L267" s="282" t="s">
        <v>546</v>
      </c>
      <c r="M267" s="288">
        <f ca="1">IF(rF1.FireResNN,rP2.OutputFireResNN,IF(OR(rF1.CheckFireResColumn,rF1.CheckFireResManual02),"-",IF(OR(rF1.LoadFactorBottomFireMax=0,rF1.AxResistanceBottom=0),"Inf.",rF1.LoadFactorBottom*0.7/rF1.LoadFactorBottomFireMax)))</f>
        <v>0.18062712195971092</v>
      </c>
      <c r="N267" s="276" t="str">
        <f ca="1">IF(rF1.CheckFireResManual02,rP2.OutputFireProofManual02,IF(rF1.CheckFireResColumn,rP2.FireProofManual,IF(rF1.LoadFactorBottomFireMax=0,rP2.OutputFireResClassFail,"")))</f>
        <v/>
      </c>
      <c r="O267" s="276"/>
      <c r="P267" s="282"/>
      <c r="Q267" s="276"/>
      <c r="R267" s="402"/>
    </row>
    <row r="268" spans="1:35" hidden="1" x14ac:dyDescent="0.2">
      <c r="Q268" s="116">
        <v>4</v>
      </c>
      <c r="R268" s="406"/>
    </row>
    <row r="269" spans="1:35" hidden="1" x14ac:dyDescent="0.2">
      <c r="R269" s="406"/>
    </row>
    <row r="270" spans="1:35" hidden="1" x14ac:dyDescent="0.2">
      <c r="R270" s="406"/>
    </row>
    <row r="271" spans="1:35" hidden="1" x14ac:dyDescent="0.2">
      <c r="R271" s="406"/>
    </row>
    <row r="272" spans="1:35" hidden="1" x14ac:dyDescent="0.2">
      <c r="R272" s="406"/>
    </row>
    <row r="273" spans="18:18" hidden="1" x14ac:dyDescent="0.2">
      <c r="R273" s="406"/>
    </row>
    <row r="274" spans="18:18" hidden="1" x14ac:dyDescent="0.2">
      <c r="R274" s="400">
        <v>4</v>
      </c>
    </row>
  </sheetData>
  <sheetProtection selectLockedCells="1"/>
  <customSheetViews>
    <customSheetView guid="{D9E11D92-C3F6-400D-9CCD-0BAB3C21C6A8}" showPageBreaks="1" printArea="1" view="pageLayout">
      <selection activeCell="H113" sqref="H113"/>
      <rowBreaks count="5" manualBreakCount="5">
        <brk id="55" min="10" max="16" man="1"/>
        <brk id="74" min="10" max="16" man="1"/>
        <brk id="125" min="10" max="16" man="1"/>
        <brk id="180" min="10" max="16" man="1"/>
        <brk id="213" min="10" max="16" man="1"/>
      </rowBreaks>
      <pageMargins left="0.70866141732283472" right="0.70866141732283472" top="0.47244094488188981" bottom="0.47244094488188981" header="0" footer="0"/>
      <pageSetup paperSize="9" scale="57" fitToWidth="0" fitToHeight="0" orientation="landscape" horizontalDpi="4294967293" verticalDpi="1200" r:id="rId1"/>
    </customSheetView>
  </customSheetViews>
  <mergeCells count="7">
    <mergeCell ref="N18:O18"/>
    <mergeCell ref="L25:P25"/>
    <mergeCell ref="L24:P24"/>
    <mergeCell ref="L23:P23"/>
    <mergeCell ref="L22:P22"/>
    <mergeCell ref="N19:O20"/>
    <mergeCell ref="K19:M20"/>
  </mergeCells>
  <conditionalFormatting sqref="L30:L31">
    <cfRule type="expression" dxfId="459" priority="374">
      <formula>$E$12="Nicht vorhanden"</formula>
    </cfRule>
  </conditionalFormatting>
  <conditionalFormatting sqref="L49:L55 L60 L62:L65">
    <cfRule type="expression" dxfId="458" priority="373">
      <formula>$C$41="Nicht vorhanden"</formula>
    </cfRule>
  </conditionalFormatting>
  <conditionalFormatting sqref="L58:L59">
    <cfRule type="expression" dxfId="457" priority="369">
      <formula>$C$41="Nicht vorhanden"</formula>
    </cfRule>
  </conditionalFormatting>
  <conditionalFormatting sqref="L29">
    <cfRule type="expression" dxfId="456" priority="308">
      <formula>$E$12="Nicht vorhanden"</formula>
    </cfRule>
  </conditionalFormatting>
  <conditionalFormatting sqref="L89">
    <cfRule type="expression" dxfId="455" priority="307">
      <formula>$E$12="Nicht vorhanden"</formula>
    </cfRule>
  </conditionalFormatting>
  <conditionalFormatting sqref="K109:L109 K60 K62:K65">
    <cfRule type="expression" dxfId="454" priority="302">
      <formula>$C$39="Nicht vorhanden"</formula>
    </cfRule>
  </conditionalFormatting>
  <conditionalFormatting sqref="M89">
    <cfRule type="expression" dxfId="453" priority="297">
      <formula>$E$12="Nicht vorhanden"</formula>
    </cfRule>
  </conditionalFormatting>
  <conditionalFormatting sqref="O89">
    <cfRule type="expression" dxfId="452" priority="282">
      <formula>$E$12="Nicht vorhanden"</formula>
    </cfRule>
  </conditionalFormatting>
  <conditionalFormatting sqref="M68:N69">
    <cfRule type="expression" dxfId="451" priority="221">
      <formula>rF1.CheckAxForceCalculation=TRUE</formula>
    </cfRule>
  </conditionalFormatting>
  <conditionalFormatting sqref="O139 O148:O150 O34:O38 O41:O45">
    <cfRule type="expression" dxfId="450" priority="1">
      <formula>rF1.CheckWallNotExisting=1</formula>
    </cfRule>
  </conditionalFormatting>
  <conditionalFormatting sqref="L34">
    <cfRule type="expression" dxfId="449" priority="274">
      <formula>$E$12="Nicht vorhanden"</formula>
    </cfRule>
  </conditionalFormatting>
  <conditionalFormatting sqref="P70">
    <cfRule type="expression" dxfId="448" priority="268">
      <formula>rF1.CheckAxForceCalculation=FALSE</formula>
    </cfRule>
  </conditionalFormatting>
  <conditionalFormatting sqref="M139 M41 M33:M39 M44:M45">
    <cfRule type="expression" dxfId="447" priority="126">
      <formula>OR(rF1.CheckFoundation=1,rF1.CheckBasePlate=1)</formula>
    </cfRule>
  </conditionalFormatting>
  <conditionalFormatting sqref="M68">
    <cfRule type="cellIs" dxfId="446" priority="277" operator="lessThan">
      <formula>rF1.WallAxForceDeadTop</formula>
    </cfRule>
  </conditionalFormatting>
  <conditionalFormatting sqref="M69">
    <cfRule type="cellIs" dxfId="445" priority="238" operator="lessThan">
      <formula>rF1.WallAxForceDeadTop</formula>
    </cfRule>
    <cfRule type="cellIs" dxfId="444" priority="239" operator="lessThan">
      <formula>rF1.WallAxForceDeadMiddleInput</formula>
    </cfRule>
  </conditionalFormatting>
  <conditionalFormatting sqref="N68">
    <cfRule type="cellIs" dxfId="443" priority="237" operator="lessThan">
      <formula>rF1.WallAxForceLiveTop</formula>
    </cfRule>
  </conditionalFormatting>
  <conditionalFormatting sqref="N69">
    <cfRule type="cellIs" dxfId="442" priority="222" operator="lessThan">
      <formula>rF1.WallAxForceLiveTop</formula>
    </cfRule>
    <cfRule type="cellIs" dxfId="441" priority="236" operator="lessThan">
      <formula>rF1.WallAxForceLiveMiddle</formula>
    </cfRule>
  </conditionalFormatting>
  <conditionalFormatting sqref="M53">
    <cfRule type="cellIs" dxfId="440" priority="229" operator="greaterThan">
      <formula>INDEX(rF1.SlabSpanParallel,1,1)</formula>
    </cfRule>
    <cfRule type="cellIs" dxfId="439" priority="235" operator="lessThan">
      <formula>rF1.MinInfluenceWidth01</formula>
    </cfRule>
  </conditionalFormatting>
  <conditionalFormatting sqref="N53">
    <cfRule type="cellIs" dxfId="438" priority="227" operator="greaterThan">
      <formula>INDEX(rF1.SlabSpanParallel,1,2)</formula>
    </cfRule>
    <cfRule type="cellIs" dxfId="437" priority="234" operator="lessThan">
      <formula>rF1.MinInfluenceWidth02</formula>
    </cfRule>
  </conditionalFormatting>
  <conditionalFormatting sqref="P51:P54">
    <cfRule type="expression" dxfId="436" priority="231">
      <formula>rF1.CheckSlabExisting04=0</formula>
    </cfRule>
  </conditionalFormatting>
  <conditionalFormatting sqref="O51:O54">
    <cfRule type="expression" dxfId="435" priority="230">
      <formula>rF1.CheckSlabExisting03=0</formula>
    </cfRule>
  </conditionalFormatting>
  <conditionalFormatting sqref="N42">
    <cfRule type="expression" dxfId="434" priority="224">
      <formula>rF1.CheckBendingMomentSlabTop=FALSE</formula>
    </cfRule>
  </conditionalFormatting>
  <conditionalFormatting sqref="N43">
    <cfRule type="expression" dxfId="433" priority="223">
      <formula>rF1.CheckBendingMomentSlabBottom=FALSE</formula>
    </cfRule>
  </conditionalFormatting>
  <conditionalFormatting sqref="K44:K47">
    <cfRule type="expression" dxfId="432" priority="198">
      <formula>$E$11="Nicht vorhanden"</formula>
    </cfRule>
  </conditionalFormatting>
  <conditionalFormatting sqref="K30:K31">
    <cfRule type="expression" dxfId="431" priority="197">
      <formula>$E$11="Nicht vorhanden"</formula>
    </cfRule>
  </conditionalFormatting>
  <conditionalFormatting sqref="K49:K55">
    <cfRule type="expression" dxfId="430" priority="196">
      <formula>$C$39="Nicht vorhanden"</formula>
    </cfRule>
  </conditionalFormatting>
  <conditionalFormatting sqref="K58:K59">
    <cfRule type="expression" dxfId="429" priority="195">
      <formula>$C$39="Nicht vorhanden"</formula>
    </cfRule>
  </conditionalFormatting>
  <conditionalFormatting sqref="K29">
    <cfRule type="expression" dxfId="428" priority="194">
      <formula>$E$11="Nicht vorhanden"</formula>
    </cfRule>
  </conditionalFormatting>
  <conditionalFormatting sqref="K89">
    <cfRule type="expression" dxfId="427" priority="193">
      <formula>$E$11="Nicht vorhanden"</formula>
    </cfRule>
  </conditionalFormatting>
  <conditionalFormatting sqref="K34">
    <cfRule type="expression" dxfId="426" priority="192">
      <formula>$E$11="Nicht vorhanden"</formula>
    </cfRule>
  </conditionalFormatting>
  <conditionalFormatting sqref="N89">
    <cfRule type="expression" dxfId="425" priority="190">
      <formula>$E$11="Nicht vorhanden"</formula>
    </cfRule>
  </conditionalFormatting>
  <conditionalFormatting sqref="K106">
    <cfRule type="expression" dxfId="424" priority="189">
      <formula>$E$11="Nicht vorhanden"</formula>
    </cfRule>
  </conditionalFormatting>
  <conditionalFormatting sqref="M43">
    <cfRule type="expression" dxfId="423" priority="151">
      <formula>OR(rF1.CheckFoundation=1,rF1.CheckBasePlate=1)</formula>
    </cfRule>
  </conditionalFormatting>
  <conditionalFormatting sqref="M79:O79 M81:O81 M83:O83 M85:O85 M87:O87 M76:O77">
    <cfRule type="expression" dxfId="422" priority="8">
      <formula>rF1.CheckWoodenSlabCalc</formula>
    </cfRule>
  </conditionalFormatting>
  <conditionalFormatting sqref="M80:O80 M82:O82 M86:O86">
    <cfRule type="expression" dxfId="421" priority="135">
      <formula>rF1.CheckWoodenSlabCalc</formula>
    </cfRule>
  </conditionalFormatting>
  <conditionalFormatting sqref="O46:O47">
    <cfRule type="expression" dxfId="420" priority="122">
      <formula>rF1.CheckWallNotExisting=1</formula>
    </cfRule>
  </conditionalFormatting>
  <conditionalFormatting sqref="M46:M47">
    <cfRule type="expression" dxfId="419" priority="124">
      <formula>OR(rF1.CheckFoundation=1,rF1.CheckBasePlate=1)</formula>
    </cfRule>
  </conditionalFormatting>
  <conditionalFormatting sqref="M44:M45 M47">
    <cfRule type="cellIs" dxfId="418" priority="244" operator="notBetween">
      <formula>rF1.MinBearingDepthTop01</formula>
      <formula>rF1.MaxBearingDepthTop01</formula>
    </cfRule>
  </conditionalFormatting>
  <conditionalFormatting sqref="O46">
    <cfRule type="cellIs" dxfId="417" priority="128" operator="greaterThan">
      <formula>INDEX(rF1.WallThickness,1,3)</formula>
    </cfRule>
  </conditionalFormatting>
  <conditionalFormatting sqref="O60 O62:O65">
    <cfRule type="expression" dxfId="416" priority="120">
      <formula>rF1.CheckSlabExisting03=0</formula>
    </cfRule>
  </conditionalFormatting>
  <conditionalFormatting sqref="P60 P62:P65">
    <cfRule type="expression" dxfId="415" priority="119">
      <formula>rF1.CheckSlabExisting04=0</formula>
    </cfRule>
  </conditionalFormatting>
  <conditionalFormatting sqref="P58:P59">
    <cfRule type="expression" dxfId="414" priority="118">
      <formula>rF1.CheckSlabExisting04=0</formula>
    </cfRule>
  </conditionalFormatting>
  <conditionalFormatting sqref="O58:O59">
    <cfRule type="expression" dxfId="413" priority="117">
      <formula>rF1.CheckSlabExisting03=0</formula>
    </cfRule>
  </conditionalFormatting>
  <conditionalFormatting sqref="M65">
    <cfRule type="cellIs" dxfId="412" priority="116" operator="greaterThan">
      <formula>rF1.MaximumDistanceLineLoad01</formula>
    </cfRule>
  </conditionalFormatting>
  <conditionalFormatting sqref="N65">
    <cfRule type="cellIs" dxfId="411" priority="115" operator="greaterThan">
      <formula>rF1.MaximumDistanceLineLoad02</formula>
    </cfRule>
  </conditionalFormatting>
  <conditionalFormatting sqref="O65">
    <cfRule type="cellIs" dxfId="410" priority="114" operator="greaterThan">
      <formula>rF1.MaximumDistanceLineLoad03</formula>
    </cfRule>
  </conditionalFormatting>
  <conditionalFormatting sqref="P65">
    <cfRule type="cellIs" dxfId="409" priority="113" operator="greaterThan">
      <formula>rF1.MaximumDistanceLineLoad04</formula>
    </cfRule>
  </conditionalFormatting>
  <conditionalFormatting sqref="N58:N60 P58:P60 N62:N65 P62:P65">
    <cfRule type="expression" dxfId="408" priority="111">
      <formula>rF1.CheckBendingMomentSlabTop</formula>
    </cfRule>
  </conditionalFormatting>
  <conditionalFormatting sqref="M58:M60 M62:M65 O58:O60 O62:O65">
    <cfRule type="expression" dxfId="407" priority="112">
      <formula>rF1.CheckBendingMomentSlabBottom</formula>
    </cfRule>
  </conditionalFormatting>
  <conditionalFormatting sqref="M58:M60 M62:M65 O58:O60 O62:O65">
    <cfRule type="expression" dxfId="406" priority="110">
      <formula>rF1.CheckWoodenSlab01</formula>
    </cfRule>
  </conditionalFormatting>
  <conditionalFormatting sqref="N58:N60 N62:N65 P58:P60 P62:P65">
    <cfRule type="expression" dxfId="405" priority="109">
      <formula>rF1.CheckWoodenSlab02</formula>
    </cfRule>
  </conditionalFormatting>
  <conditionalFormatting sqref="O133 O135 O139 O141 O144 O146 O148 O150 O152 O154 O161 O163 O165 O167 O169 O173 O156:O158">
    <cfRule type="expression" dxfId="404" priority="108">
      <formula>rF1.CheckWallNotExisting=1</formula>
    </cfRule>
  </conditionalFormatting>
  <conditionalFormatting sqref="M170:O170">
    <cfRule type="cellIs" dxfId="403" priority="107" operator="greaterThan">
      <formula>rP1.MaxSlendernessWall</formula>
    </cfRule>
  </conditionalFormatting>
  <conditionalFormatting sqref="P170">
    <cfRule type="expression" dxfId="402" priority="106">
      <formula>rF1.WallSlenderness02&gt;rP1.MaxSlendernessWall</formula>
    </cfRule>
  </conditionalFormatting>
  <conditionalFormatting sqref="O134 O136 O138 O140 O143 O145 O147 O149 O151 O153 O155 O160 O162 O164 O166 O168 O170">
    <cfRule type="expression" dxfId="401" priority="105">
      <formula>rF1.CheckWallNotExisting=1</formula>
    </cfRule>
  </conditionalFormatting>
  <conditionalFormatting sqref="O174 O176 O178 O180 O182 O188 O190 O193 O195 O184">
    <cfRule type="expression" dxfId="400" priority="104">
      <formula>rF1.CheckSlabExisting03=0</formula>
    </cfRule>
  </conditionalFormatting>
  <conditionalFormatting sqref="O173 O175 O177 O179 O181 O189 O192 O194 O183 O185">
    <cfRule type="expression" dxfId="399" priority="103">
      <formula>rF1.CheckSlabExisting03=0</formula>
    </cfRule>
  </conditionalFormatting>
  <conditionalFormatting sqref="P173 P175 P177 P179 P181 P189 P192 P194 P183 P185">
    <cfRule type="expression" dxfId="398" priority="102">
      <formula>rF1.CheckSlabExisting04=0</formula>
    </cfRule>
  </conditionalFormatting>
  <conditionalFormatting sqref="P174 P176 P178 P180 P182 P188 P190 P193 P195 P184">
    <cfRule type="expression" dxfId="397" priority="101">
      <formula>rF1.CheckSlabExisting04=0</formula>
    </cfRule>
  </conditionalFormatting>
  <conditionalFormatting sqref="M133 M135 M139 M141 M144 M146 M148 M150 M152 M154 M161 M163 M165 M167 M169 M156:M158">
    <cfRule type="expression" dxfId="396" priority="100">
      <formula>OR(rF1.CheckFoundation=1,rF1.CheckBasePlate=1)</formula>
    </cfRule>
  </conditionalFormatting>
  <conditionalFormatting sqref="M132 M134 M136 M138 M140 M143 M145 M147 M149 M151 M153 M155 M160 M164 M166 M170">
    <cfRule type="expression" dxfId="395" priority="99">
      <formula>OR(rF1.CheckFoundation=1,rF1.CheckBasePlate=1)</formula>
    </cfRule>
  </conditionalFormatting>
  <conditionalFormatting sqref="M205">
    <cfRule type="expression" dxfId="394" priority="95">
      <formula>rF1.CheckBendingMomentSlabTop</formula>
    </cfRule>
  </conditionalFormatting>
  <conditionalFormatting sqref="M206">
    <cfRule type="expression" dxfId="393" priority="94">
      <formula>rF1.CheckBendingMomentSlabTop</formula>
    </cfRule>
  </conditionalFormatting>
  <conditionalFormatting sqref="M209">
    <cfRule type="expression" dxfId="392" priority="93">
      <formula>rF1.CheckBendingMomentSlabBottom</formula>
    </cfRule>
  </conditionalFormatting>
  <conditionalFormatting sqref="M210">
    <cfRule type="expression" dxfId="391" priority="92">
      <formula>rF1.CheckBendingMomentSlabBottom</formula>
    </cfRule>
  </conditionalFormatting>
  <conditionalFormatting sqref="M212">
    <cfRule type="expression" dxfId="390" priority="91">
      <formula>AND(rF1.CheckBendingMomentSlabTop,rF1.CheckBendingMomentSlabBottom)</formula>
    </cfRule>
  </conditionalFormatting>
  <conditionalFormatting sqref="L262:M263">
    <cfRule type="expression" dxfId="389" priority="80">
      <formula>rF1.AxResistanceBottom&gt;=rF1.WallAxForceBottom</formula>
    </cfRule>
    <cfRule type="expression" dxfId="388" priority="81">
      <formula>rF1.AxResistanceBottom&lt;rF1.WallAxForceBottom</formula>
    </cfRule>
  </conditionalFormatting>
  <conditionalFormatting sqref="L130">
    <cfRule type="expression" dxfId="387" priority="47">
      <formula>rF1.CheckWoodenSlabCalc</formula>
    </cfRule>
  </conditionalFormatting>
  <conditionalFormatting sqref="L233:M233">
    <cfRule type="expression" dxfId="386" priority="56">
      <formula>rF1.FireResNN</formula>
    </cfRule>
    <cfRule type="expression" dxfId="385" priority="70">
      <formula>rF1.LoadFactorTopFire&lt;=1</formula>
    </cfRule>
  </conditionalFormatting>
  <conditionalFormatting sqref="L251:M251">
    <cfRule type="expression" dxfId="384" priority="11">
      <formula>rF1.FireResNN</formula>
    </cfRule>
    <cfRule type="expression" dxfId="383" priority="68">
      <formula>rF1.LoadFactorMiddleFire&lt;=1</formula>
    </cfRule>
  </conditionalFormatting>
  <conditionalFormatting sqref="L267:M267">
    <cfRule type="expression" dxfId="382" priority="13">
      <formula>rF1.FireResNN</formula>
    </cfRule>
    <cfRule type="expression" dxfId="381" priority="57">
      <formula>rF1.LoadFactorBottomFire&lt;=1</formula>
    </cfRule>
  </conditionalFormatting>
  <conditionalFormatting sqref="L246:M247">
    <cfRule type="expression" dxfId="380" priority="82">
      <formula>rF1.AxResistanceMiddle&lt;rF1.WallAxForceMiddle</formula>
    </cfRule>
    <cfRule type="expression" dxfId="379" priority="83">
      <formula>rF1.AxResistanceMiddle&gt;=rF1.WallAxForceMiddle</formula>
    </cfRule>
  </conditionalFormatting>
  <conditionalFormatting sqref="N44">
    <cfRule type="cellIs" dxfId="378" priority="53" operator="notBetween">
      <formula>rF1.MinBearingDepthTop02</formula>
      <formula>rF1.MaxBearingDepthTop02</formula>
    </cfRule>
  </conditionalFormatting>
  <conditionalFormatting sqref="N45">
    <cfRule type="cellIs" dxfId="377" priority="52" operator="notBetween">
      <formula>rF1.MinBearingDepthBottom02</formula>
      <formula>rF1.MaxBearingDepthBottom02</formula>
    </cfRule>
  </conditionalFormatting>
  <conditionalFormatting sqref="O70">
    <cfRule type="expression" dxfId="376" priority="51">
      <formula>rF1.CheckAxForceCalculation=FALSE</formula>
    </cfRule>
  </conditionalFormatting>
  <conditionalFormatting sqref="M40">
    <cfRule type="expression" dxfId="375" priority="50">
      <formula>OR(rF1.CheckFoundation=1,rF1.CheckBasePlate=1)</formula>
    </cfRule>
  </conditionalFormatting>
  <conditionalFormatting sqref="M162">
    <cfRule type="expression" dxfId="374" priority="90">
      <formula>rF1.CheckFoundation</formula>
    </cfRule>
  </conditionalFormatting>
  <conditionalFormatting sqref="L228:M229">
    <cfRule type="expression" dxfId="373" priority="84">
      <formula>rF1.AxResistanceTop&lt;rF1.WallAxForceTop</formula>
    </cfRule>
    <cfRule type="expression" dxfId="372" priority="85">
      <formula>rF1.AxResistanceTop&gt;=rF1.WallAxForceTop</formula>
    </cfRule>
  </conditionalFormatting>
  <conditionalFormatting sqref="L233:N233">
    <cfRule type="expression" dxfId="371" priority="71">
      <formula>rF1.LoadFactorTopFire&gt;1</formula>
    </cfRule>
  </conditionalFormatting>
  <conditionalFormatting sqref="L251:N251">
    <cfRule type="expression" dxfId="370" priority="69">
      <formula>rF1.LoadFactorMiddleFire&gt;1</formula>
    </cfRule>
  </conditionalFormatting>
  <conditionalFormatting sqref="L267:N267">
    <cfRule type="expression" dxfId="369" priority="73">
      <formula>rF1.LoadFactorBottomFire&gt;1</formula>
    </cfRule>
  </conditionalFormatting>
  <conditionalFormatting sqref="M81:M83">
    <cfRule type="expression" dxfId="368" priority="137">
      <formula>rF1.LoadFactorTop&lt;=1</formula>
    </cfRule>
    <cfRule type="expression" dxfId="367" priority="140">
      <formula>rF1.LoadFactorTop&gt;1</formula>
    </cfRule>
  </conditionalFormatting>
  <conditionalFormatting sqref="N81:N83">
    <cfRule type="expression" dxfId="366" priority="138">
      <formula>rF1.LoadFactorMiddle&lt;=1</formula>
    </cfRule>
    <cfRule type="expression" dxfId="365" priority="141">
      <formula>rF1.LoadFactorMiddle&gt;1</formula>
    </cfRule>
  </conditionalFormatting>
  <conditionalFormatting sqref="O81:O83">
    <cfRule type="expression" dxfId="364" priority="139">
      <formula>rF1.LoadFactorBottom&lt;=1</formula>
    </cfRule>
    <cfRule type="expression" dxfId="363" priority="142">
      <formula>rF1.LoadFactorBottom&gt;1</formula>
    </cfRule>
  </conditionalFormatting>
  <conditionalFormatting sqref="M87">
    <cfRule type="expression" dxfId="362" priority="31">
      <formula>rF1.LoadFactorTopFire&lt;=1</formula>
    </cfRule>
    <cfRule type="expression" dxfId="361" priority="136">
      <formula>rF1.LoadFactorTopFire&gt;1</formula>
    </cfRule>
  </conditionalFormatting>
  <conditionalFormatting sqref="N87">
    <cfRule type="expression" dxfId="360" priority="29">
      <formula>rF1.LoadFactorMiddleFire&lt;=1</formula>
    </cfRule>
    <cfRule type="expression" dxfId="359" priority="32">
      <formula>rF1.LoadFactorMiddleFire&gt;1</formula>
    </cfRule>
  </conditionalFormatting>
  <conditionalFormatting sqref="O87">
    <cfRule type="expression" dxfId="358" priority="30">
      <formula>rF1.LoadFactorBottomFire&lt;=1</formula>
    </cfRule>
    <cfRule type="expression" dxfId="357" priority="33">
      <formula>rF1.LoadFactorBottomFire&gt;1</formula>
    </cfRule>
  </conditionalFormatting>
  <conditionalFormatting sqref="K231 M231:Q231 M249 K267:Q267 M265 K232:Q248 K251:Q264 K250:M250 O249:Q250 K266:M266 O265:Q266 R132:R273 K130:Q230">
    <cfRule type="expression" dxfId="356" priority="10">
      <formula>rF1.CheckWoodenSlabCalc</formula>
    </cfRule>
  </conditionalFormatting>
  <conditionalFormatting sqref="O157">
    <cfRule type="expression" dxfId="355" priority="26">
      <formula>rF1.CheckWallNotExisting=1</formula>
    </cfRule>
  </conditionalFormatting>
  <conditionalFormatting sqref="M157">
    <cfRule type="expression" dxfId="354" priority="25">
      <formula>OR(rF1.CheckFoundation=1,rF1.CheckBasePlate=1)</formula>
    </cfRule>
  </conditionalFormatting>
  <conditionalFormatting sqref="K249">
    <cfRule type="expression" dxfId="353" priority="24">
      <formula>rF1.CheckWoodenSlabCalc</formula>
    </cfRule>
  </conditionalFormatting>
  <conditionalFormatting sqref="K265">
    <cfRule type="expression" dxfId="352" priority="22">
      <formula>rF1.CheckWoodenSlabCalc</formula>
    </cfRule>
  </conditionalFormatting>
  <conditionalFormatting sqref="N249:N250">
    <cfRule type="expression" dxfId="351" priority="16">
      <formula>rF1.CheckWoodenSlabCalc</formula>
    </cfRule>
  </conditionalFormatting>
  <conditionalFormatting sqref="N265:N266">
    <cfRule type="expression" dxfId="350" priority="14">
      <formula>rF1.CheckWoodenSlabCalc</formula>
    </cfRule>
  </conditionalFormatting>
  <conditionalFormatting sqref="R132:R273 K130:Q267">
    <cfRule type="expression" dxfId="349" priority="9">
      <formula>rF1.CheckShowDetails=FALSE</formula>
    </cfRule>
  </conditionalFormatting>
  <conditionalFormatting sqref="M87:O87">
    <cfRule type="expression" dxfId="348" priority="28">
      <formula>rF1.FireResNN</formula>
    </cfRule>
  </conditionalFormatting>
  <conditionalFormatting sqref="P44">
    <cfRule type="expression" dxfId="347" priority="6">
      <formula>rF1.CheckCantilever04</formula>
    </cfRule>
  </conditionalFormatting>
  <conditionalFormatting sqref="P45">
    <cfRule type="expression" dxfId="346" priority="5">
      <formula>rF1.CheckCantilever03</formula>
    </cfRule>
  </conditionalFormatting>
  <conditionalFormatting sqref="O45">
    <cfRule type="cellIs" dxfId="345" priority="250" operator="notBetween">
      <formula>rF1.MinBearingDepthBottom03</formula>
      <formula>rF1.MaxBearingDepthBottom03</formula>
    </cfRule>
  </conditionalFormatting>
  <dataValidations disablePrompts="1" count="28">
    <dataValidation type="decimal" operator="greaterThan" allowBlank="1" showInputMessage="1" showErrorMessage="1" errorTitle="Eingabefehler" error="Die Wandlänge muss größer als 0 sein!" sqref="O36:O37 N36:N38 M36:M37" xr:uid="{00000000-0002-0000-0200-000000000000}">
      <formula1>0</formula1>
    </dataValidation>
    <dataValidation type="decimal" operator="greaterThan" allowBlank="1" showInputMessage="1" showErrorMessage="1" errorTitle="Eingabefehler" error="Die Deckenspannweite muss größer als 0 sein!" sqref="M51:P52" xr:uid="{00000000-0002-0000-0200-000001000000}">
      <formula1>0</formula1>
    </dataValidation>
    <dataValidation type="decimal" operator="greaterThan" allowBlank="1" showInputMessage="1" showErrorMessage="1" errorTitle="Eingabefehler" error="Die Deckendicke muss größer als 0 sein!" sqref="M54:P54" xr:uid="{00000000-0002-0000-0200-000002000000}">
      <formula1>0</formula1>
    </dataValidation>
    <dataValidation type="decimal" operator="greaterThanOrEqual" allowBlank="1" showErrorMessage="1" errorTitle="Eingabefehler" error="Die Normalkraft in Wandmitte muss größer oder gleich der Normalkraft im Wandkopf sein!" sqref="M68" xr:uid="{00000000-0002-0000-0200-000003000000}">
      <formula1>rF1.WallAxForceDeadTop</formula1>
    </dataValidation>
    <dataValidation type="decimal" operator="greaterThanOrEqual" allowBlank="1" showInputMessage="1" showErrorMessage="1" errorTitle="Input error" error="Loads must be grater or equal to axial force in wall middle!" sqref="M70" xr:uid="{00000000-0002-0000-0200-000004000000}">
      <formula1>rF1.WallAxForceDeadMiddleInput</formula1>
    </dataValidation>
    <dataValidation type="decimal" operator="greaterThanOrEqual" allowBlank="1" showInputMessage="1" showErrorMessage="1" errorTitle="Input error" error="Loads must be grater or equal to 0!" sqref="M67 M64:P64 M60:P60" xr:uid="{00000000-0002-0000-0200-000005000000}">
      <formula1>0</formula1>
    </dataValidation>
    <dataValidation type="whole" allowBlank="1" showInputMessage="1" showErrorMessage="1" errorTitle="Input error" error="Wall height must be greater than 0!" sqref="O41:O43 M41:N41" xr:uid="{00000000-0002-0000-0200-000006000000}">
      <formula1>0</formula1>
      <formula2>2</formula2>
    </dataValidation>
    <dataValidation operator="greaterThan" allowBlank="1" showInputMessage="1" showErrorMessage="1" sqref="O53:P53" xr:uid="{00000000-0002-0000-0200-000007000000}"/>
    <dataValidation type="decimal" allowBlank="1" showInputMessage="1" showErrorMessage="1" errorTitle="Eingabefehler" error="Die Einflussbreite muss größer als die Länge von Wand 2, sowie Wand 3 und kleiner als die Deckenspannweite parallel zur Wand sein!" sqref="N53" xr:uid="{00000000-0002-0000-0200-000008000000}">
      <formula1>rF1.MinInfluenceWidth02</formula1>
      <formula2>INDEX(rF1.SlabSpanParallel,1,2)</formula2>
    </dataValidation>
    <dataValidation type="decimal" allowBlank="1" showInputMessage="1" showErrorMessage="1" errorTitle="Eingabefehler" error="Die Einflussbreite muss größer als die Länge von Wand 1, sowie Wand 2 und kleiner als die Deckenspannweite parallel zur Wand sein!" sqref="M53" xr:uid="{00000000-0002-0000-0200-000009000000}">
      <formula1>rF1.MinInfluenceWidth01</formula1>
      <formula2>INDEX(rF1.SlabSpanParallel,1,1)</formula2>
    </dataValidation>
    <dataValidation type="decimal" operator="greaterThanOrEqual" allowBlank="1" showErrorMessage="1" errorTitle="Eingabefehler" error="Die Normalkraft in Wandmitte muss größer oder gleich der Normalkraft im Wandkopf sein!" sqref="N68" xr:uid="{00000000-0002-0000-0200-00000A000000}">
      <formula1>rF1.WallAxForceLiveTop</formula1>
    </dataValidation>
    <dataValidation type="decimal" operator="greaterThanOrEqual" allowBlank="1" showErrorMessage="1" errorTitle="Eingabefehler" error="Die Normalkraft im Wandfuß muss größer oder gleich der Normalkraft in Wandmitte sein!" sqref="N69" xr:uid="{00000000-0002-0000-0200-00000B000000}">
      <formula1>rF1.WallAxForceLiveMiddle</formula1>
    </dataValidation>
    <dataValidation type="decimal" operator="greaterThanOrEqual" allowBlank="1" showInputMessage="1" showErrorMessage="1" errorTitle="Eingabefehler" error="Die Normalkraft im Wandfuß muss größer oder gleich der Normalkraft in Wandmitte sein!" sqref="M69" xr:uid="{00000000-0002-0000-0200-00000C000000}">
      <formula1>rF1.WallAxForceDeadMiddleInput</formula1>
    </dataValidation>
    <dataValidation type="decimal" allowBlank="1" showInputMessage="1" showErrorMessage="1" errorTitle="Eingabefehler" error="Die Ausmitte muss zwischen -t/2 und t/2 betragen!" sqref="N42:N43" xr:uid="{00000000-0002-0000-0200-00000D000000}">
      <formula1>-rF1.WallThickness02/2</formula1>
      <formula2>rF1.WallThickness02/2</formula2>
    </dataValidation>
    <dataValidation type="decimal" allowBlank="1" showInputMessage="1" showErrorMessage="1" errorTitle="Eingabefehler" error="Die Position der Linienlast muss innerhalb der Deckengrenzen liegen!" sqref="M65" xr:uid="{00000000-0002-0000-0200-00000E000000}">
      <formula1>0</formula1>
      <formula2>rF1.MaximumDistanceLineLoad01</formula2>
    </dataValidation>
    <dataValidation type="decimal" allowBlank="1" showInputMessage="1" showErrorMessage="1" errorTitle="Eingabefehler" error="Die Position der Linienlast muss innerhalb der Deckengrenzen liegen!" sqref="N65" xr:uid="{00000000-0002-0000-0200-00000F000000}">
      <formula1>0</formula1>
      <formula2>rF1.MaximumDistanceLineLoad02</formula2>
    </dataValidation>
    <dataValidation type="decimal" allowBlank="1" showInputMessage="1" showErrorMessage="1" errorTitle="Eingabefehler" error="Die Position der Linienlast muss innerhalb der Deckengrenzen liegen!" sqref="O65" xr:uid="{00000000-0002-0000-0200-000010000000}">
      <formula1>0</formula1>
      <formula2>rF1.MaximumDistanceLineLoad03</formula2>
    </dataValidation>
    <dataValidation type="decimal" allowBlank="1" showInputMessage="1" showErrorMessage="1" errorTitle="Eingabefehler" error="Die Position der Linienlast muss innerhalb der Deckengrenzen liegen!" sqref="P65" xr:uid="{00000000-0002-0000-0200-000011000000}">
      <formula1>0</formula1>
      <formula2>rF1.MaximumDistanceLineLoad04</formula2>
    </dataValidation>
    <dataValidation type="decimal" allowBlank="1" showInputMessage="1" showErrorMessage="1" errorTitle="Eingabefehler" error="Der Abstand muss größer oder gleich 0 und kleiner als die Dicke von Wand 2, sowie Wand 3 sein!" sqref="O44" xr:uid="{00000000-0002-0000-0200-000012000000}">
      <formula1>0</formula1>
      <formula2>rF1.MaxBearingDepthTop02</formula2>
    </dataValidation>
    <dataValidation type="decimal" allowBlank="1" showInputMessage="1" showErrorMessage="1" errorTitle="Eingabefehler" error="Der Abstand muss größer oder gleich der minimalen Auflagertiefe (siehe Manual) und kleiner als die Dicke von Wand 2 sein!" sqref="N44:N45" xr:uid="{00000000-0002-0000-0200-000013000000}">
      <formula1>0</formula1>
      <formula2>rF1.MaxBearingDepthBottom02</formula2>
    </dataValidation>
    <dataValidation type="decimal" operator="greaterThan" allowBlank="1" showInputMessage="1" showErrorMessage="1" errorTitle="Eingabefehler" error="Die Wandhöhe muss größer als 0 sein!" sqref="M35:O35" xr:uid="{00000000-0002-0000-0200-000014000000}">
      <formula1>0</formula1>
    </dataValidation>
    <dataValidation type="decimal" operator="greaterThanOrEqual" allowBlank="1" showInputMessage="1" showErrorMessage="1" errorTitle="Eingabefehler" error="Die Belastung muss größer oder gleich 0 sein!" sqref="M58:P59 M62:P63" xr:uid="{00000000-0002-0000-0200-000015000000}">
      <formula1>0</formula1>
    </dataValidation>
    <dataValidation allowBlank="1" showInputMessage="1" showErrorMessage="1" errorTitle="Input error" error="Wall height must be greater than 0!" sqref="M42:M43" xr:uid="{00000000-0002-0000-0200-000016000000}"/>
    <dataValidation type="decimal" allowBlank="1" showInputMessage="1" showErrorMessage="1" errorTitle="Eingabefehler" error="Der Abstand muss größer oder gleich 0 und kleiner als die Dicke von Wand 1 sein!" sqref="M45" xr:uid="{00000000-0002-0000-0200-000017000000}">
      <formula1>0</formula1>
      <formula2>INDEX(rF1.WallThickness,1,1)</formula2>
    </dataValidation>
    <dataValidation operator="greaterThanOrEqual" allowBlank="1" showInputMessage="1" showErrorMessage="1" errorTitle="Eingabefehler" error="Die Lasten müßen größer oder gleich 0 sein!" sqref="M72" xr:uid="{00000000-0002-0000-0200-000018000000}"/>
    <dataValidation operator="greaterThan" allowBlank="1" showInputMessage="1" showErrorMessage="1" errorTitle="Eingabefehler" error="Die Wandlänge muss größer als 0 sein!" sqref="O38 M38" xr:uid="{00000000-0002-0000-0200-000019000000}"/>
    <dataValidation type="decimal" allowBlank="1" showInputMessage="1" showErrorMessage="1" errorTitle="Eingabefehler" error="Der Abstand muss größer oder gleich der minimalen Auflagertiefe (siehe Manual) und kleiner als die Dicke von Wand 1 sein!" sqref="M44" xr:uid="{00000000-0002-0000-0200-00001A000000}">
      <formula1>0</formula1>
      <formula2>rF1.MaxBearingDepthTop01</formula2>
    </dataValidation>
    <dataValidation type="decimal" allowBlank="1" showInputMessage="1" showErrorMessage="1" errorTitle="Eingabefehler" error="Der Abstand muss größer oder gleich der minimalen Auflagertiefe (siehe Manual) und kleiner als die Dicke von Wand 3 sein!" sqref="O45" xr:uid="{00000000-0002-0000-0200-00001B000000}">
      <formula1>0</formula1>
      <formula2>rF1.MaxBearingDepthBottom03</formula2>
    </dataValidation>
  </dataValidations>
  <printOptions horizontalCentered="1" verticalCentered="1"/>
  <pageMargins left="0.98425196850393704" right="0.98425196850393704" top="0.70866141732283472" bottom="0.47244094488188981" header="0.31496062992125984" footer="0.19685039370078741"/>
  <pageSetup paperSize="9" scale="64" fitToHeight="0" orientation="landscape" horizontalDpi="4294967293" verticalDpi="1200" r:id="rId2"/>
  <headerFooter>
    <oddHeader>&amp;L&amp;"-,Fett"&amp;K000000
&amp;14N&amp;YRd&amp;Y-Pro Tool&amp;R&amp;G</oddHeader>
    <oddFooter>&amp;R&amp;P von &amp;N</oddFooter>
  </headerFooter>
  <rowBreaks count="5" manualBreakCount="5">
    <brk id="55" min="10" max="16" man="1"/>
    <brk id="87" min="10" max="16" man="1"/>
    <brk id="128" min="10" max="16" man="1"/>
    <brk id="170" min="10" max="16" man="1"/>
    <brk id="216" min="10" max="16" man="1"/>
  </rowBreaks>
  <cellWatches>
    <cellWatch r="N151"/>
    <cellWatch r="O151"/>
    <cellWatch r="N152"/>
    <cellWatch r="O152"/>
    <cellWatch r="N153"/>
    <cellWatch r="O153"/>
  </cellWatche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25" r:id="rId6" name="Drop Down 1">
              <controlPr defaultSize="0" autoLine="0" autoPict="0">
                <anchor moveWithCells="1">
                  <from>
                    <xdr:col>12</xdr:col>
                    <xdr:colOff>38100</xdr:colOff>
                    <xdr:row>29</xdr:row>
                    <xdr:rowOff>38100</xdr:rowOff>
                  </from>
                  <to>
                    <xdr:col>12</xdr:col>
                    <xdr:colOff>2286000</xdr:colOff>
                    <xdr:row>30</xdr:row>
                    <xdr:rowOff>0</xdr:rowOff>
                  </to>
                </anchor>
              </controlPr>
            </control>
          </mc:Choice>
        </mc:AlternateContent>
        <mc:AlternateContent xmlns:mc="http://schemas.openxmlformats.org/markup-compatibility/2006">
          <mc:Choice Requires="x14">
            <control shapeId="1026" r:id="rId7" name="Drop Down 2">
              <controlPr defaultSize="0" autoLine="0" autoPict="0">
                <anchor moveWithCells="1">
                  <from>
                    <xdr:col>13</xdr:col>
                    <xdr:colOff>47625</xdr:colOff>
                    <xdr:row>29</xdr:row>
                    <xdr:rowOff>38100</xdr:rowOff>
                  </from>
                  <to>
                    <xdr:col>13</xdr:col>
                    <xdr:colOff>2286000</xdr:colOff>
                    <xdr:row>30</xdr:row>
                    <xdr:rowOff>0</xdr:rowOff>
                  </to>
                </anchor>
              </controlPr>
            </control>
          </mc:Choice>
        </mc:AlternateContent>
        <mc:AlternateContent xmlns:mc="http://schemas.openxmlformats.org/markup-compatibility/2006">
          <mc:Choice Requires="x14">
            <control shapeId="1027" r:id="rId8" name="Drop Down 3">
              <controlPr defaultSize="0" autoLine="0" autoPict="0">
                <anchor moveWithCells="1">
                  <from>
                    <xdr:col>14</xdr:col>
                    <xdr:colOff>47625</xdr:colOff>
                    <xdr:row>29</xdr:row>
                    <xdr:rowOff>38100</xdr:rowOff>
                  </from>
                  <to>
                    <xdr:col>14</xdr:col>
                    <xdr:colOff>2286000</xdr:colOff>
                    <xdr:row>30</xdr:row>
                    <xdr:rowOff>0</xdr:rowOff>
                  </to>
                </anchor>
              </controlPr>
            </control>
          </mc:Choice>
        </mc:AlternateContent>
        <mc:AlternateContent xmlns:mc="http://schemas.openxmlformats.org/markup-compatibility/2006">
          <mc:Choice Requires="x14">
            <control shapeId="1035" r:id="rId9" name="Drop Down 11">
              <controlPr defaultSize="0" autoLine="0" autoPict="0">
                <anchor moveWithCells="1">
                  <from>
                    <xdr:col>13</xdr:col>
                    <xdr:colOff>47625</xdr:colOff>
                    <xdr:row>38</xdr:row>
                    <xdr:rowOff>19050</xdr:rowOff>
                  </from>
                  <to>
                    <xdr:col>13</xdr:col>
                    <xdr:colOff>2286000</xdr:colOff>
                    <xdr:row>39</xdr:row>
                    <xdr:rowOff>0</xdr:rowOff>
                  </to>
                </anchor>
              </controlPr>
            </control>
          </mc:Choice>
        </mc:AlternateContent>
        <mc:AlternateContent xmlns:mc="http://schemas.openxmlformats.org/markup-compatibility/2006">
          <mc:Choice Requires="x14">
            <control shapeId="1036" r:id="rId10" name="Drop Down 12">
              <controlPr defaultSize="0" autoLine="0" autoPict="0">
                <anchor moveWithCells="1">
                  <from>
                    <xdr:col>14</xdr:col>
                    <xdr:colOff>47625</xdr:colOff>
                    <xdr:row>38</xdr:row>
                    <xdr:rowOff>19050</xdr:rowOff>
                  </from>
                  <to>
                    <xdr:col>14</xdr:col>
                    <xdr:colOff>2286000</xdr:colOff>
                    <xdr:row>39</xdr:row>
                    <xdr:rowOff>0</xdr:rowOff>
                  </to>
                </anchor>
              </controlPr>
            </control>
          </mc:Choice>
        </mc:AlternateContent>
        <mc:AlternateContent xmlns:mc="http://schemas.openxmlformats.org/markup-compatibility/2006">
          <mc:Choice Requires="x14">
            <control shapeId="1043" r:id="rId11" name="Drop Down 19">
              <controlPr defaultSize="0" autoLine="0" autoPict="0">
                <anchor moveWithCells="1">
                  <from>
                    <xdr:col>12</xdr:col>
                    <xdr:colOff>47625</xdr:colOff>
                    <xdr:row>48</xdr:row>
                    <xdr:rowOff>19050</xdr:rowOff>
                  </from>
                  <to>
                    <xdr:col>12</xdr:col>
                    <xdr:colOff>2286000</xdr:colOff>
                    <xdr:row>49</xdr:row>
                    <xdr:rowOff>0</xdr:rowOff>
                  </to>
                </anchor>
              </controlPr>
            </control>
          </mc:Choice>
        </mc:AlternateContent>
        <mc:AlternateContent xmlns:mc="http://schemas.openxmlformats.org/markup-compatibility/2006">
          <mc:Choice Requires="x14">
            <control shapeId="1044" r:id="rId12" name="Drop Down 20">
              <controlPr defaultSize="0" autoLine="0" autoPict="0">
                <anchor moveWithCells="1">
                  <from>
                    <xdr:col>12</xdr:col>
                    <xdr:colOff>47625</xdr:colOff>
                    <xdr:row>49</xdr:row>
                    <xdr:rowOff>19050</xdr:rowOff>
                  </from>
                  <to>
                    <xdr:col>12</xdr:col>
                    <xdr:colOff>2286000</xdr:colOff>
                    <xdr:row>50</xdr:row>
                    <xdr:rowOff>0</xdr:rowOff>
                  </to>
                </anchor>
              </controlPr>
            </control>
          </mc:Choice>
        </mc:AlternateContent>
        <mc:AlternateContent xmlns:mc="http://schemas.openxmlformats.org/markup-compatibility/2006">
          <mc:Choice Requires="x14">
            <control shapeId="1045" r:id="rId13" name="Drop Down 21">
              <controlPr defaultSize="0" autoLine="0" autoPict="0">
                <anchor moveWithCells="1">
                  <from>
                    <xdr:col>12</xdr:col>
                    <xdr:colOff>47625</xdr:colOff>
                    <xdr:row>54</xdr:row>
                    <xdr:rowOff>9525</xdr:rowOff>
                  </from>
                  <to>
                    <xdr:col>12</xdr:col>
                    <xdr:colOff>2286000</xdr:colOff>
                    <xdr:row>54</xdr:row>
                    <xdr:rowOff>171450</xdr:rowOff>
                  </to>
                </anchor>
              </controlPr>
            </control>
          </mc:Choice>
        </mc:AlternateContent>
        <mc:AlternateContent xmlns:mc="http://schemas.openxmlformats.org/markup-compatibility/2006">
          <mc:Choice Requires="x14">
            <control shapeId="1046" r:id="rId14" name="Drop Down 22">
              <controlPr defaultSize="0" autoLine="0" autoPict="0">
                <anchor moveWithCells="1">
                  <from>
                    <xdr:col>13</xdr:col>
                    <xdr:colOff>47625</xdr:colOff>
                    <xdr:row>54</xdr:row>
                    <xdr:rowOff>9525</xdr:rowOff>
                  </from>
                  <to>
                    <xdr:col>13</xdr:col>
                    <xdr:colOff>2286000</xdr:colOff>
                    <xdr:row>54</xdr:row>
                    <xdr:rowOff>171450</xdr:rowOff>
                  </to>
                </anchor>
              </controlPr>
            </control>
          </mc:Choice>
        </mc:AlternateContent>
        <mc:AlternateContent xmlns:mc="http://schemas.openxmlformats.org/markup-compatibility/2006">
          <mc:Choice Requires="x14">
            <control shapeId="1047" r:id="rId15" name="Drop Down 23">
              <controlPr defaultSize="0" autoLine="0" autoPict="0">
                <anchor moveWithCells="1">
                  <from>
                    <xdr:col>14</xdr:col>
                    <xdr:colOff>47625</xdr:colOff>
                    <xdr:row>54</xdr:row>
                    <xdr:rowOff>9525</xdr:rowOff>
                  </from>
                  <to>
                    <xdr:col>14</xdr:col>
                    <xdr:colOff>2286000</xdr:colOff>
                    <xdr:row>54</xdr:row>
                    <xdr:rowOff>171450</xdr:rowOff>
                  </to>
                </anchor>
              </controlPr>
            </control>
          </mc:Choice>
        </mc:AlternateContent>
        <mc:AlternateContent xmlns:mc="http://schemas.openxmlformats.org/markup-compatibility/2006">
          <mc:Choice Requires="x14">
            <control shapeId="1048" r:id="rId16" name="Drop Down 24">
              <controlPr defaultSize="0" autoLine="0" autoPict="0">
                <anchor moveWithCells="1">
                  <from>
                    <xdr:col>15</xdr:col>
                    <xdr:colOff>47625</xdr:colOff>
                    <xdr:row>54</xdr:row>
                    <xdr:rowOff>9525</xdr:rowOff>
                  </from>
                  <to>
                    <xdr:col>15</xdr:col>
                    <xdr:colOff>2286000</xdr:colOff>
                    <xdr:row>54</xdr:row>
                    <xdr:rowOff>171450</xdr:rowOff>
                  </to>
                </anchor>
              </controlPr>
            </control>
          </mc:Choice>
        </mc:AlternateContent>
        <mc:AlternateContent xmlns:mc="http://schemas.openxmlformats.org/markup-compatibility/2006">
          <mc:Choice Requires="x14">
            <control shapeId="1049" r:id="rId17" name="Drop Down 25">
              <controlPr defaultSize="0" autoLine="0" autoPict="0">
                <anchor moveWithCells="1">
                  <from>
                    <xdr:col>13</xdr:col>
                    <xdr:colOff>47625</xdr:colOff>
                    <xdr:row>48</xdr:row>
                    <xdr:rowOff>19050</xdr:rowOff>
                  </from>
                  <to>
                    <xdr:col>13</xdr:col>
                    <xdr:colOff>2286000</xdr:colOff>
                    <xdr:row>49</xdr:row>
                    <xdr:rowOff>0</xdr:rowOff>
                  </to>
                </anchor>
              </controlPr>
            </control>
          </mc:Choice>
        </mc:AlternateContent>
        <mc:AlternateContent xmlns:mc="http://schemas.openxmlformats.org/markup-compatibility/2006">
          <mc:Choice Requires="x14">
            <control shapeId="1050" r:id="rId18" name="Drop Down 26">
              <controlPr defaultSize="0" autoLine="0" autoPict="0">
                <anchor moveWithCells="1">
                  <from>
                    <xdr:col>14</xdr:col>
                    <xdr:colOff>47625</xdr:colOff>
                    <xdr:row>48</xdr:row>
                    <xdr:rowOff>19050</xdr:rowOff>
                  </from>
                  <to>
                    <xdr:col>14</xdr:col>
                    <xdr:colOff>2286000</xdr:colOff>
                    <xdr:row>49</xdr:row>
                    <xdr:rowOff>0</xdr:rowOff>
                  </to>
                </anchor>
              </controlPr>
            </control>
          </mc:Choice>
        </mc:AlternateContent>
        <mc:AlternateContent xmlns:mc="http://schemas.openxmlformats.org/markup-compatibility/2006">
          <mc:Choice Requires="x14">
            <control shapeId="1051" r:id="rId19" name="Drop Down 27">
              <controlPr defaultSize="0" autoLine="0" autoPict="0">
                <anchor moveWithCells="1">
                  <from>
                    <xdr:col>15</xdr:col>
                    <xdr:colOff>47625</xdr:colOff>
                    <xdr:row>48</xdr:row>
                    <xdr:rowOff>19050</xdr:rowOff>
                  </from>
                  <to>
                    <xdr:col>15</xdr:col>
                    <xdr:colOff>2286000</xdr:colOff>
                    <xdr:row>49</xdr:row>
                    <xdr:rowOff>0</xdr:rowOff>
                  </to>
                </anchor>
              </controlPr>
            </control>
          </mc:Choice>
        </mc:AlternateContent>
        <mc:AlternateContent xmlns:mc="http://schemas.openxmlformats.org/markup-compatibility/2006">
          <mc:Choice Requires="x14">
            <control shapeId="1052" r:id="rId20" name="Drop Down 28">
              <controlPr defaultSize="0" autoLine="0" autoPict="0">
                <anchor moveWithCells="1">
                  <from>
                    <xdr:col>13</xdr:col>
                    <xdr:colOff>47625</xdr:colOff>
                    <xdr:row>49</xdr:row>
                    <xdr:rowOff>19050</xdr:rowOff>
                  </from>
                  <to>
                    <xdr:col>13</xdr:col>
                    <xdr:colOff>2286000</xdr:colOff>
                    <xdr:row>50</xdr:row>
                    <xdr:rowOff>0</xdr:rowOff>
                  </to>
                </anchor>
              </controlPr>
            </control>
          </mc:Choice>
        </mc:AlternateContent>
        <mc:AlternateContent xmlns:mc="http://schemas.openxmlformats.org/markup-compatibility/2006">
          <mc:Choice Requires="x14">
            <control shapeId="1053" r:id="rId21" name="Drop Down 29">
              <controlPr defaultSize="0" autoLine="0" autoPict="0">
                <anchor moveWithCells="1">
                  <from>
                    <xdr:col>14</xdr:col>
                    <xdr:colOff>47625</xdr:colOff>
                    <xdr:row>49</xdr:row>
                    <xdr:rowOff>19050</xdr:rowOff>
                  </from>
                  <to>
                    <xdr:col>14</xdr:col>
                    <xdr:colOff>2286000</xdr:colOff>
                    <xdr:row>50</xdr:row>
                    <xdr:rowOff>0</xdr:rowOff>
                  </to>
                </anchor>
              </controlPr>
            </control>
          </mc:Choice>
        </mc:AlternateContent>
        <mc:AlternateContent xmlns:mc="http://schemas.openxmlformats.org/markup-compatibility/2006">
          <mc:Choice Requires="x14">
            <control shapeId="1054" r:id="rId22" name="Drop Down 30">
              <controlPr defaultSize="0" autoLine="0" autoPict="0">
                <anchor moveWithCells="1">
                  <from>
                    <xdr:col>15</xdr:col>
                    <xdr:colOff>47625</xdr:colOff>
                    <xdr:row>49</xdr:row>
                    <xdr:rowOff>19050</xdr:rowOff>
                  </from>
                  <to>
                    <xdr:col>15</xdr:col>
                    <xdr:colOff>2286000</xdr:colOff>
                    <xdr:row>50</xdr:row>
                    <xdr:rowOff>0</xdr:rowOff>
                  </to>
                </anchor>
              </controlPr>
            </control>
          </mc:Choice>
        </mc:AlternateContent>
        <mc:AlternateContent xmlns:mc="http://schemas.openxmlformats.org/markup-compatibility/2006">
          <mc:Choice Requires="x14">
            <control shapeId="1055" r:id="rId23" name="Drop Down 31">
              <controlPr defaultSize="0" autoLine="0" autoPict="0">
                <anchor moveWithCells="1">
                  <from>
                    <xdr:col>12</xdr:col>
                    <xdr:colOff>38100</xdr:colOff>
                    <xdr:row>30</xdr:row>
                    <xdr:rowOff>38100</xdr:rowOff>
                  </from>
                  <to>
                    <xdr:col>12</xdr:col>
                    <xdr:colOff>2286000</xdr:colOff>
                    <xdr:row>31</xdr:row>
                    <xdr:rowOff>0</xdr:rowOff>
                  </to>
                </anchor>
              </controlPr>
            </control>
          </mc:Choice>
        </mc:AlternateContent>
        <mc:AlternateContent xmlns:mc="http://schemas.openxmlformats.org/markup-compatibility/2006">
          <mc:Choice Requires="x14">
            <control shapeId="1067" r:id="rId24" name="Drop Down 43">
              <controlPr defaultSize="0" autoLine="0" autoPict="0">
                <anchor moveWithCells="1">
                  <from>
                    <xdr:col>12</xdr:col>
                    <xdr:colOff>38100</xdr:colOff>
                    <xdr:row>28</xdr:row>
                    <xdr:rowOff>38100</xdr:rowOff>
                  </from>
                  <to>
                    <xdr:col>12</xdr:col>
                    <xdr:colOff>2286000</xdr:colOff>
                    <xdr:row>28</xdr:row>
                    <xdr:rowOff>200025</xdr:rowOff>
                  </to>
                </anchor>
              </controlPr>
            </control>
          </mc:Choice>
        </mc:AlternateContent>
        <mc:AlternateContent xmlns:mc="http://schemas.openxmlformats.org/markup-compatibility/2006">
          <mc:Choice Requires="x14">
            <control shapeId="1068" r:id="rId25" name="Drop Down 44">
              <controlPr defaultSize="0" autoLine="0" autoPict="0">
                <anchor moveWithCells="1">
                  <from>
                    <xdr:col>13</xdr:col>
                    <xdr:colOff>47625</xdr:colOff>
                    <xdr:row>28</xdr:row>
                    <xdr:rowOff>38100</xdr:rowOff>
                  </from>
                  <to>
                    <xdr:col>13</xdr:col>
                    <xdr:colOff>2286000</xdr:colOff>
                    <xdr:row>28</xdr:row>
                    <xdr:rowOff>200025</xdr:rowOff>
                  </to>
                </anchor>
              </controlPr>
            </control>
          </mc:Choice>
        </mc:AlternateContent>
        <mc:AlternateContent xmlns:mc="http://schemas.openxmlformats.org/markup-compatibility/2006">
          <mc:Choice Requires="x14">
            <control shapeId="1069" r:id="rId26" name="Drop Down 45">
              <controlPr defaultSize="0" autoLine="0" autoPict="0">
                <anchor moveWithCells="1">
                  <from>
                    <xdr:col>14</xdr:col>
                    <xdr:colOff>47625</xdr:colOff>
                    <xdr:row>28</xdr:row>
                    <xdr:rowOff>38100</xdr:rowOff>
                  </from>
                  <to>
                    <xdr:col>14</xdr:col>
                    <xdr:colOff>2286000</xdr:colOff>
                    <xdr:row>28</xdr:row>
                    <xdr:rowOff>200025</xdr:rowOff>
                  </to>
                </anchor>
              </controlPr>
            </control>
          </mc:Choice>
        </mc:AlternateContent>
        <mc:AlternateContent xmlns:mc="http://schemas.openxmlformats.org/markup-compatibility/2006">
          <mc:Choice Requires="x14">
            <control shapeId="1073" r:id="rId27" name="Drop Down 49">
              <controlPr defaultSize="0" autoLine="0" autoPict="0">
                <anchor moveWithCells="1">
                  <from>
                    <xdr:col>13</xdr:col>
                    <xdr:colOff>47625</xdr:colOff>
                    <xdr:row>40</xdr:row>
                    <xdr:rowOff>19050</xdr:rowOff>
                  </from>
                  <to>
                    <xdr:col>13</xdr:col>
                    <xdr:colOff>2286000</xdr:colOff>
                    <xdr:row>41</xdr:row>
                    <xdr:rowOff>0</xdr:rowOff>
                  </to>
                </anchor>
              </controlPr>
            </control>
          </mc:Choice>
        </mc:AlternateContent>
        <mc:AlternateContent xmlns:mc="http://schemas.openxmlformats.org/markup-compatibility/2006">
          <mc:Choice Requires="x14">
            <control shapeId="1124" r:id="rId28" name="Check Box 100">
              <controlPr defaultSize="0" autoFill="0" autoLine="0" autoPict="0">
                <anchor moveWithCells="1">
                  <from>
                    <xdr:col>10</xdr:col>
                    <xdr:colOff>2847975</xdr:colOff>
                    <xdr:row>40</xdr:row>
                    <xdr:rowOff>171450</xdr:rowOff>
                  </from>
                  <to>
                    <xdr:col>11</xdr:col>
                    <xdr:colOff>0</xdr:colOff>
                    <xdr:row>41</xdr:row>
                    <xdr:rowOff>190500</xdr:rowOff>
                  </to>
                </anchor>
              </controlPr>
            </control>
          </mc:Choice>
        </mc:AlternateContent>
        <mc:AlternateContent xmlns:mc="http://schemas.openxmlformats.org/markup-compatibility/2006">
          <mc:Choice Requires="x14">
            <control shapeId="1125" r:id="rId29" name="Check Box 101">
              <controlPr defaultSize="0" autoFill="0" autoLine="0" autoPict="0">
                <anchor moveWithCells="1">
                  <from>
                    <xdr:col>10</xdr:col>
                    <xdr:colOff>2847975</xdr:colOff>
                    <xdr:row>42</xdr:row>
                    <xdr:rowOff>0</xdr:rowOff>
                  </from>
                  <to>
                    <xdr:col>11</xdr:col>
                    <xdr:colOff>0</xdr:colOff>
                    <xdr:row>43</xdr:row>
                    <xdr:rowOff>0</xdr:rowOff>
                  </to>
                </anchor>
              </controlPr>
            </control>
          </mc:Choice>
        </mc:AlternateContent>
        <mc:AlternateContent xmlns:mc="http://schemas.openxmlformats.org/markup-compatibility/2006">
          <mc:Choice Requires="x14">
            <control shapeId="1145" r:id="rId30" name="Check Box 121">
              <controlPr defaultSize="0" autoFill="0" autoLine="0" autoPict="0">
                <anchor moveWithCells="1">
                  <from>
                    <xdr:col>10</xdr:col>
                    <xdr:colOff>2847975</xdr:colOff>
                    <xdr:row>40</xdr:row>
                    <xdr:rowOff>171450</xdr:rowOff>
                  </from>
                  <to>
                    <xdr:col>11</xdr:col>
                    <xdr:colOff>0</xdr:colOff>
                    <xdr:row>41</xdr:row>
                    <xdr:rowOff>200025</xdr:rowOff>
                  </to>
                </anchor>
              </controlPr>
            </control>
          </mc:Choice>
        </mc:AlternateContent>
        <mc:AlternateContent xmlns:mc="http://schemas.openxmlformats.org/markup-compatibility/2006">
          <mc:Choice Requires="x14">
            <control shapeId="1147" r:id="rId31" name="Check Box 123">
              <controlPr defaultSize="0" autoFill="0" autoLine="0" autoPict="0">
                <anchor moveWithCells="1">
                  <from>
                    <xdr:col>11</xdr:col>
                    <xdr:colOff>38100</xdr:colOff>
                    <xdr:row>128</xdr:row>
                    <xdr:rowOff>0</xdr:rowOff>
                  </from>
                  <to>
                    <xdr:col>11</xdr:col>
                    <xdr:colOff>219075</xdr:colOff>
                    <xdr:row>129</xdr:row>
                    <xdr:rowOff>0</xdr:rowOff>
                  </to>
                </anchor>
              </controlPr>
            </control>
          </mc:Choice>
        </mc:AlternateContent>
        <mc:AlternateContent xmlns:mc="http://schemas.openxmlformats.org/markup-compatibility/2006">
          <mc:Choice Requires="x14">
            <control shapeId="1161" r:id="rId32" name="Drop Down 137">
              <controlPr defaultSize="0" autoLine="0" autoPict="0">
                <anchor moveWithCells="1">
                  <from>
                    <xdr:col>13</xdr:col>
                    <xdr:colOff>47625</xdr:colOff>
                    <xdr:row>36</xdr:row>
                    <xdr:rowOff>19050</xdr:rowOff>
                  </from>
                  <to>
                    <xdr:col>13</xdr:col>
                    <xdr:colOff>2286000</xdr:colOff>
                    <xdr:row>37</xdr:row>
                    <xdr:rowOff>0</xdr:rowOff>
                  </to>
                </anchor>
              </controlPr>
            </control>
          </mc:Choice>
        </mc:AlternateContent>
        <mc:AlternateContent xmlns:mc="http://schemas.openxmlformats.org/markup-compatibility/2006">
          <mc:Choice Requires="x14">
            <control shapeId="1189" r:id="rId33" name="Drop Down 165">
              <controlPr defaultSize="0" autoLine="0" autoPict="0">
                <anchor moveWithCells="1">
                  <from>
                    <xdr:col>13</xdr:col>
                    <xdr:colOff>47625</xdr:colOff>
                    <xdr:row>31</xdr:row>
                    <xdr:rowOff>19050</xdr:rowOff>
                  </from>
                  <to>
                    <xdr:col>13</xdr:col>
                    <xdr:colOff>2286000</xdr:colOff>
                    <xdr:row>32</xdr:row>
                    <xdr:rowOff>0</xdr:rowOff>
                  </to>
                </anchor>
              </controlPr>
            </control>
          </mc:Choice>
        </mc:AlternateContent>
        <mc:AlternateContent xmlns:mc="http://schemas.openxmlformats.org/markup-compatibility/2006">
          <mc:Choice Requires="x14">
            <control shapeId="1190" r:id="rId34" name="Drop Down 166">
              <controlPr defaultSize="0" autoLine="0" autoPict="0">
                <anchor moveWithCells="1">
                  <from>
                    <xdr:col>14</xdr:col>
                    <xdr:colOff>66675</xdr:colOff>
                    <xdr:row>71</xdr:row>
                    <xdr:rowOff>9525</xdr:rowOff>
                  </from>
                  <to>
                    <xdr:col>14</xdr:col>
                    <xdr:colOff>2305050</xdr:colOff>
                    <xdr:row>71</xdr:row>
                    <xdr:rowOff>171450</xdr:rowOff>
                  </to>
                </anchor>
              </controlPr>
            </control>
          </mc:Choice>
        </mc:AlternateContent>
        <mc:AlternateContent xmlns:mc="http://schemas.openxmlformats.org/markup-compatibility/2006">
          <mc:Choice Requires="x14">
            <control shapeId="1192" r:id="rId35" name="Drop Down 168">
              <controlPr defaultSize="0" autoLine="0" autoPict="0">
                <anchor moveWithCells="1">
                  <from>
                    <xdr:col>12</xdr:col>
                    <xdr:colOff>38100</xdr:colOff>
                    <xdr:row>39</xdr:row>
                    <xdr:rowOff>19050</xdr:rowOff>
                  </from>
                  <to>
                    <xdr:col>12</xdr:col>
                    <xdr:colOff>2286000</xdr:colOff>
                    <xdr:row>40</xdr:row>
                    <xdr:rowOff>0</xdr:rowOff>
                  </to>
                </anchor>
              </controlPr>
            </control>
          </mc:Choice>
        </mc:AlternateContent>
        <mc:AlternateContent xmlns:mc="http://schemas.openxmlformats.org/markup-compatibility/2006">
          <mc:Choice Requires="x14">
            <control shapeId="1193" r:id="rId36" name="Drop Down 169">
              <controlPr defaultSize="0" autoLine="0" autoPict="0">
                <anchor moveWithCells="1">
                  <from>
                    <xdr:col>13</xdr:col>
                    <xdr:colOff>47625</xdr:colOff>
                    <xdr:row>39</xdr:row>
                    <xdr:rowOff>19050</xdr:rowOff>
                  </from>
                  <to>
                    <xdr:col>13</xdr:col>
                    <xdr:colOff>2286000</xdr:colOff>
                    <xdr:row>40</xdr:row>
                    <xdr:rowOff>0</xdr:rowOff>
                  </to>
                </anchor>
              </controlPr>
            </control>
          </mc:Choice>
        </mc:AlternateContent>
        <mc:AlternateContent xmlns:mc="http://schemas.openxmlformats.org/markup-compatibility/2006">
          <mc:Choice Requires="x14">
            <control shapeId="1194" r:id="rId37" name="Drop Down 170">
              <controlPr defaultSize="0" autoLine="0" autoPict="0">
                <anchor moveWithCells="1">
                  <from>
                    <xdr:col>13</xdr:col>
                    <xdr:colOff>47625</xdr:colOff>
                    <xdr:row>37</xdr:row>
                    <xdr:rowOff>19050</xdr:rowOff>
                  </from>
                  <to>
                    <xdr:col>13</xdr:col>
                    <xdr:colOff>2286000</xdr:colOff>
                    <xdr:row>38</xdr:row>
                    <xdr:rowOff>0</xdr:rowOff>
                  </to>
                </anchor>
              </controlPr>
            </control>
          </mc:Choice>
        </mc:AlternateContent>
        <mc:AlternateContent xmlns:mc="http://schemas.openxmlformats.org/markup-compatibility/2006">
          <mc:Choice Requires="x14">
            <control shapeId="1071" r:id="rId38" name="Check Box 47">
              <controlPr defaultSize="0" autoFill="0" autoLine="0" autoPict="0" altText="N in Wandmitt und -fuß automatisch berechnen">
                <anchor moveWithCells="1">
                  <from>
                    <xdr:col>12</xdr:col>
                    <xdr:colOff>57150</xdr:colOff>
                    <xdr:row>69</xdr:row>
                    <xdr:rowOff>0</xdr:rowOff>
                  </from>
                  <to>
                    <xdr:col>13</xdr:col>
                    <xdr:colOff>1438275</xdr:colOff>
                    <xdr:row>70</xdr:row>
                    <xdr:rowOff>9525</xdr:rowOff>
                  </to>
                </anchor>
              </controlPr>
            </control>
          </mc:Choice>
        </mc:AlternateContent>
        <mc:AlternateContent xmlns:mc="http://schemas.openxmlformats.org/markup-compatibility/2006">
          <mc:Choice Requires="x14">
            <control shapeId="1191" r:id="rId39" name="Drop Down 167">
              <controlPr defaultSize="0" autoLine="0" autoPict="0">
                <anchor moveWithCells="1">
                  <from>
                    <xdr:col>15</xdr:col>
                    <xdr:colOff>47625</xdr:colOff>
                    <xdr:row>69</xdr:row>
                    <xdr:rowOff>9525</xdr:rowOff>
                  </from>
                  <to>
                    <xdr:col>15</xdr:col>
                    <xdr:colOff>2286000</xdr:colOff>
                    <xdr:row>69</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AN279"/>
  <sheetViews>
    <sheetView showGridLines="0" showRowColHeaders="0" showRuler="0" topLeftCell="K18" zoomScaleNormal="100" zoomScalePageLayoutView="55" workbookViewId="0">
      <selection activeCell="L22" sqref="L22:P22"/>
    </sheetView>
  </sheetViews>
  <sheetFormatPr baseColWidth="10" defaultColWidth="0" defaultRowHeight="14.25" customHeight="1" zeroHeight="1" x14ac:dyDescent="0.2"/>
  <cols>
    <col min="1" max="2" width="1.5" style="116" hidden="1" customWidth="1"/>
    <col min="3" max="3" width="2.875" style="116" hidden="1" customWidth="1"/>
    <col min="4" max="4" width="1.5" style="116" hidden="1" customWidth="1"/>
    <col min="5" max="8" width="10.875" style="116" hidden="1" customWidth="1"/>
    <col min="9" max="10" width="1.625" style="116" hidden="1" customWidth="1"/>
    <col min="11" max="11" width="40.5" style="116" customWidth="1"/>
    <col min="12" max="12" width="9.625" style="116" customWidth="1"/>
    <col min="13" max="16" width="30.5" style="116" customWidth="1"/>
    <col min="17" max="17" width="1.375" style="116" customWidth="1"/>
    <col min="18" max="18" width="1.375" style="400" hidden="1" customWidth="1"/>
    <col min="19" max="19" width="11" style="117" hidden="1" customWidth="1"/>
    <col min="20" max="35" width="11" style="118" hidden="1" customWidth="1"/>
    <col min="36" max="16384" width="11" style="117" hidden="1"/>
  </cols>
  <sheetData>
    <row r="1" spans="11:16" hidden="1" x14ac:dyDescent="0.2">
      <c r="K1" s="116" t="s">
        <v>89</v>
      </c>
      <c r="M1" s="63">
        <v>7</v>
      </c>
      <c r="N1" s="63">
        <v>6</v>
      </c>
      <c r="O1" s="63">
        <v>6</v>
      </c>
    </row>
    <row r="2" spans="11:16" hidden="1" x14ac:dyDescent="0.2">
      <c r="K2" s="116" t="s">
        <v>204</v>
      </c>
      <c r="M2" s="119">
        <f ca="1">OFFSET(rL2.MainGroupsHead01,rF1.MainGroupSelection,1,1,1)</f>
        <v>0</v>
      </c>
      <c r="N2" s="119" t="str">
        <f ca="1">OFFSET(rL2.MainGroupsHead02,rF1.MainGroupSelection,1,1,1)</f>
        <v>rD1.Knoten06</v>
      </c>
      <c r="O2" s="119" t="str">
        <f ca="1">OFFSET(rL2.MainGroupsHead03,rF1.MainGroupSelection,1,1,1)</f>
        <v>rD1.Knoten06</v>
      </c>
    </row>
    <row r="3" spans="11:16" hidden="1" x14ac:dyDescent="0.2">
      <c r="K3" s="116" t="s">
        <v>36</v>
      </c>
      <c r="M3" s="63">
        <v>6</v>
      </c>
      <c r="N3" s="63">
        <v>10</v>
      </c>
      <c r="O3" s="63">
        <v>10</v>
      </c>
    </row>
    <row r="4" spans="11:16" hidden="1" x14ac:dyDescent="0.2">
      <c r="K4" s="116" t="s">
        <v>83</v>
      </c>
      <c r="M4" s="63">
        <v>3</v>
      </c>
      <c r="N4" s="63">
        <v>0</v>
      </c>
      <c r="O4" s="63">
        <v>0</v>
      </c>
    </row>
    <row r="5" spans="11:16" hidden="1" x14ac:dyDescent="0.2">
      <c r="K5" s="116" t="s">
        <v>37</v>
      </c>
      <c r="M5" s="63">
        <v>1</v>
      </c>
      <c r="N5" s="63">
        <v>1</v>
      </c>
      <c r="O5" s="63">
        <v>1</v>
      </c>
    </row>
    <row r="6" spans="11:16" hidden="1" x14ac:dyDescent="0.2">
      <c r="K6" s="116" t="s">
        <v>502</v>
      </c>
      <c r="M6" s="63"/>
      <c r="N6" s="63">
        <v>2</v>
      </c>
      <c r="O6" s="63">
        <v>2</v>
      </c>
    </row>
    <row r="7" spans="11:16" hidden="1" x14ac:dyDescent="0.2">
      <c r="K7" s="116" t="s">
        <v>503</v>
      </c>
      <c r="M7" s="63">
        <v>2</v>
      </c>
      <c r="N7" s="63">
        <v>2</v>
      </c>
      <c r="O7" s="63"/>
    </row>
    <row r="8" spans="11:16" hidden="1" x14ac:dyDescent="0.2">
      <c r="K8" s="116" t="s">
        <v>146</v>
      </c>
      <c r="M8" s="63">
        <v>1</v>
      </c>
      <c r="N8" s="63">
        <v>0</v>
      </c>
      <c r="O8" s="63">
        <v>1</v>
      </c>
    </row>
    <row r="9" spans="11:16" hidden="1" x14ac:dyDescent="0.2">
      <c r="K9" s="116" t="s">
        <v>147</v>
      </c>
      <c r="M9" s="63">
        <v>1</v>
      </c>
      <c r="N9" s="63">
        <v>1</v>
      </c>
      <c r="O9" s="63">
        <v>3</v>
      </c>
    </row>
    <row r="10" spans="11:16" hidden="1" x14ac:dyDescent="0.2">
      <c r="K10" s="116" t="s">
        <v>38</v>
      </c>
      <c r="M10" s="63">
        <v>2</v>
      </c>
      <c r="N10" s="63">
        <v>2</v>
      </c>
      <c r="O10" s="63">
        <v>5</v>
      </c>
      <c r="P10" s="63">
        <v>4</v>
      </c>
    </row>
    <row r="11" spans="11:16" hidden="1" x14ac:dyDescent="0.2">
      <c r="K11" s="116" t="s">
        <v>39</v>
      </c>
      <c r="M11" s="63">
        <v>1</v>
      </c>
      <c r="N11" s="63">
        <v>1</v>
      </c>
      <c r="O11" s="63">
        <v>1</v>
      </c>
      <c r="P11" s="63">
        <v>1</v>
      </c>
    </row>
    <row r="12" spans="11:16" hidden="1" x14ac:dyDescent="0.2">
      <c r="K12" s="116" t="s">
        <v>40</v>
      </c>
      <c r="M12" s="63">
        <v>3</v>
      </c>
      <c r="N12" s="63">
        <v>3</v>
      </c>
      <c r="O12" s="63">
        <v>1</v>
      </c>
      <c r="P12" s="63">
        <v>3</v>
      </c>
    </row>
    <row r="13" spans="11:16" hidden="1" x14ac:dyDescent="0.2">
      <c r="K13" s="116" t="s">
        <v>379</v>
      </c>
      <c r="N13" s="63">
        <v>1</v>
      </c>
    </row>
    <row r="14" spans="11:16" hidden="1" x14ac:dyDescent="0.2">
      <c r="K14" s="116" t="s">
        <v>516</v>
      </c>
      <c r="N14" s="63">
        <v>2</v>
      </c>
    </row>
    <row r="15" spans="11:16" hidden="1" x14ac:dyDescent="0.2">
      <c r="K15" s="116" t="s">
        <v>389</v>
      </c>
      <c r="N15" s="63">
        <v>1</v>
      </c>
    </row>
    <row r="16" spans="11:16" hidden="1" x14ac:dyDescent="0.2">
      <c r="K16" s="116" t="s">
        <v>482</v>
      </c>
      <c r="O16" s="63">
        <v>1</v>
      </c>
    </row>
    <row r="17" spans="5:37" hidden="1" x14ac:dyDescent="0.2">
      <c r="K17" s="116" t="s">
        <v>501</v>
      </c>
      <c r="P17" s="63">
        <v>1</v>
      </c>
    </row>
    <row r="18" spans="5:37" ht="19.5" x14ac:dyDescent="0.2">
      <c r="K18" s="120"/>
      <c r="L18" s="120"/>
      <c r="M18" s="120"/>
      <c r="N18" s="489"/>
      <c r="O18" s="489"/>
      <c r="P18" s="412"/>
      <c r="Q18" s="121"/>
    </row>
    <row r="19" spans="5:37" x14ac:dyDescent="0.2">
      <c r="K19" s="493" t="s">
        <v>468</v>
      </c>
      <c r="L19" s="493"/>
      <c r="M19" s="494"/>
      <c r="N19" s="492" t="s">
        <v>367</v>
      </c>
      <c r="O19" s="492"/>
      <c r="P19" s="122"/>
      <c r="Q19" s="123"/>
      <c r="R19" s="408"/>
    </row>
    <row r="20" spans="5:37" ht="59.25" customHeight="1" x14ac:dyDescent="0.2">
      <c r="K20" s="493"/>
      <c r="L20" s="493"/>
      <c r="M20" s="494"/>
      <c r="N20" s="492"/>
      <c r="O20" s="492"/>
      <c r="P20" s="124" t="s">
        <v>364</v>
      </c>
      <c r="Q20" s="125"/>
    </row>
    <row r="21" spans="5:37" ht="14.25" customHeight="1" thickBot="1" x14ac:dyDescent="0.25">
      <c r="K21" s="126"/>
      <c r="L21" s="126"/>
      <c r="M21" s="126"/>
      <c r="N21" s="126"/>
      <c r="O21" s="127"/>
      <c r="P21" s="128"/>
      <c r="Q21" s="129"/>
    </row>
    <row r="22" spans="5:37" ht="20.25" customHeight="1" thickTop="1" thickBot="1" x14ac:dyDescent="0.25">
      <c r="K22" s="130" t="s">
        <v>205</v>
      </c>
      <c r="L22" s="490" t="s">
        <v>614</v>
      </c>
      <c r="M22" s="490"/>
      <c r="N22" s="490"/>
      <c r="O22" s="490"/>
      <c r="P22" s="490"/>
      <c r="Q22" s="131"/>
    </row>
    <row r="23" spans="5:37" ht="16.5" thickTop="1" thickBot="1" x14ac:dyDescent="0.25">
      <c r="K23" s="132" t="s">
        <v>206</v>
      </c>
      <c r="L23" s="490"/>
      <c r="M23" s="490"/>
      <c r="N23" s="490"/>
      <c r="O23" s="490"/>
      <c r="P23" s="490"/>
      <c r="Q23" s="133"/>
      <c r="V23" s="134" t="s">
        <v>329</v>
      </c>
      <c r="X23" s="134" t="s">
        <v>484</v>
      </c>
    </row>
    <row r="24" spans="5:37" ht="16.5" thickTop="1" thickBot="1" x14ac:dyDescent="0.25">
      <c r="K24" s="132" t="s">
        <v>207</v>
      </c>
      <c r="L24" s="491"/>
      <c r="M24" s="490"/>
      <c r="N24" s="490"/>
      <c r="O24" s="490"/>
      <c r="P24" s="490"/>
      <c r="Q24" s="133"/>
      <c r="U24" s="134" t="s">
        <v>136</v>
      </c>
      <c r="V24" s="135">
        <v>1.5</v>
      </c>
      <c r="X24" s="136">
        <f ca="1">IF(rF1.CheckBasePlate=1,0,IF(rF1.CheckFoundation=1,rF1.PlotFoundationHeight,INDEX(rF1.WallHeight,1,1)))</f>
        <v>2.5</v>
      </c>
    </row>
    <row r="25" spans="5:37" ht="16.5" thickTop="1" thickBot="1" x14ac:dyDescent="0.25">
      <c r="K25" s="132" t="s">
        <v>208</v>
      </c>
      <c r="L25" s="490"/>
      <c r="M25" s="490"/>
      <c r="N25" s="490"/>
      <c r="O25" s="490"/>
      <c r="P25" s="490"/>
      <c r="Q25" s="133"/>
      <c r="U25" s="134" t="s">
        <v>2</v>
      </c>
      <c r="V25" s="135">
        <v>1</v>
      </c>
    </row>
    <row r="26" spans="5:37" ht="15" thickTop="1" x14ac:dyDescent="0.2">
      <c r="K26" s="137" t="s">
        <v>209</v>
      </c>
      <c r="L26" s="138"/>
      <c r="M26" s="138"/>
      <c r="N26" s="138"/>
      <c r="O26" s="138"/>
      <c r="P26" s="138"/>
      <c r="Q26" s="138"/>
    </row>
    <row r="27" spans="5:37" x14ac:dyDescent="0.2">
      <c r="E27" s="139"/>
      <c r="F27" s="139"/>
      <c r="G27" s="139"/>
      <c r="K27" s="140" t="s">
        <v>210</v>
      </c>
      <c r="L27" s="140"/>
      <c r="M27" s="140"/>
      <c r="N27" s="140"/>
      <c r="O27" s="140"/>
      <c r="P27" s="140"/>
      <c r="Q27" s="141"/>
    </row>
    <row r="28" spans="5:37" ht="15" thickBot="1" x14ac:dyDescent="0.25">
      <c r="E28" s="139"/>
      <c r="F28" s="139"/>
      <c r="G28" s="139"/>
      <c r="K28" s="142" t="s">
        <v>211</v>
      </c>
      <c r="L28" s="142"/>
      <c r="M28" s="143" t="s">
        <v>485</v>
      </c>
      <c r="N28" s="144" t="s">
        <v>212</v>
      </c>
      <c r="O28" s="143" t="s">
        <v>486</v>
      </c>
      <c r="P28" s="142"/>
      <c r="Q28" s="142"/>
      <c r="R28" s="401"/>
    </row>
    <row r="29" spans="5:37" ht="17.25" thickTop="1" thickBot="1" x14ac:dyDescent="0.25">
      <c r="E29" s="145">
        <f>IF(rF1.MainGroupSelection01=7,1,0)</f>
        <v>1</v>
      </c>
      <c r="G29" s="145">
        <f>IF(rF1.MainGroupSelection03=7,1,0)</f>
        <v>0</v>
      </c>
      <c r="K29" s="146" t="s">
        <v>213</v>
      </c>
      <c r="L29" s="146"/>
      <c r="M29" s="129"/>
      <c r="N29" s="147"/>
      <c r="O29" s="129"/>
      <c r="P29" s="148" t="s">
        <v>254</v>
      </c>
      <c r="Q29" s="131"/>
      <c r="S29" s="149" t="s">
        <v>328</v>
      </c>
      <c r="T29" s="150"/>
      <c r="U29" s="151"/>
      <c r="V29" s="151"/>
      <c r="W29" s="151"/>
      <c r="X29" s="151"/>
      <c r="Y29" s="151"/>
      <c r="Z29" s="151"/>
      <c r="AA29" s="152"/>
      <c r="AB29" s="149" t="s">
        <v>327</v>
      </c>
      <c r="AC29" s="151"/>
      <c r="AD29" s="150"/>
      <c r="AE29" s="151"/>
      <c r="AF29" s="151"/>
      <c r="AG29" s="151"/>
      <c r="AH29" s="151"/>
      <c r="AI29" s="151"/>
      <c r="AJ29" s="152"/>
      <c r="AK29" s="118"/>
    </row>
    <row r="30" spans="5:37" ht="15.75" thickTop="1" thickBot="1" x14ac:dyDescent="0.25">
      <c r="E30" s="145">
        <f>IF(rF1.MainGroupSelection01=8,1,0)</f>
        <v>0</v>
      </c>
      <c r="K30" s="146" t="s">
        <v>214</v>
      </c>
      <c r="L30" s="146"/>
      <c r="M30" s="153"/>
      <c r="N30" s="154"/>
      <c r="O30" s="153"/>
      <c r="P30" s="131"/>
      <c r="Q30" s="131"/>
      <c r="S30" s="155"/>
      <c r="T30" s="156" t="s">
        <v>116</v>
      </c>
      <c r="U30" s="157"/>
      <c r="V30" s="158">
        <v>0</v>
      </c>
      <c r="W30" s="159">
        <v>1</v>
      </c>
      <c r="X30" s="159">
        <v>2</v>
      </c>
      <c r="Y30" s="159">
        <v>3</v>
      </c>
      <c r="Z30" s="159">
        <v>4</v>
      </c>
      <c r="AA30" s="160">
        <v>5</v>
      </c>
      <c r="AB30" s="161"/>
      <c r="AC30" s="156" t="s">
        <v>116</v>
      </c>
      <c r="AD30" s="157"/>
      <c r="AE30" s="158">
        <v>0</v>
      </c>
      <c r="AF30" s="159">
        <v>1</v>
      </c>
      <c r="AG30" s="159">
        <v>2</v>
      </c>
      <c r="AH30" s="159">
        <v>3</v>
      </c>
      <c r="AI30" s="159">
        <v>4</v>
      </c>
      <c r="AJ30" s="160">
        <v>5</v>
      </c>
      <c r="AK30" s="118"/>
    </row>
    <row r="31" spans="5:37" ht="15.75" thickTop="1" thickBot="1" x14ac:dyDescent="0.25">
      <c r="K31" s="146" t="s">
        <v>462</v>
      </c>
      <c r="L31" s="146"/>
      <c r="M31" s="153"/>
      <c r="N31" s="154"/>
      <c r="O31" s="153"/>
      <c r="P31" s="131"/>
      <c r="Q31" s="131"/>
      <c r="S31" s="155" t="str">
        <f ca="1">IF(OR(rF1.CheckFoundation,rF1.CheckBasePlate),"","W1")</f>
        <v>W1</v>
      </c>
      <c r="T31" s="158" t="str">
        <f ca="1">IF(OR(rF1.CheckFoundation,rF1.CheckBasePlate),"",rP2.OutputWall01)</f>
        <v>Wand 1</v>
      </c>
      <c r="U31" s="162" t="s">
        <v>93</v>
      </c>
      <c r="V31" s="163">
        <f ca="1">IF(rF1.CheckBasePlate=1,0,IF(rF1.CheckFoundation=1,rF1.PlotFoundationWidth/2,INDEX(rF1.WallThickness,1,1)/2))</f>
        <v>0.125</v>
      </c>
      <c r="W31" s="163">
        <f ca="1">IF(rF1.CheckBasePlate=1,0,IF(rF1.CheckFoundation=1,rF1.PlotFoundationWidth/2,INDEX(rF1.WallThickness,1,1)/2))</f>
        <v>0.125</v>
      </c>
      <c r="X31" s="163">
        <f ca="1">IF(rF1.CheckBasePlate=1,0,IF(rF1.CheckFoundation=1,-rF1.PlotFoundationWidth/2,-INDEX(rF1.WallThickness,1,1)/2))</f>
        <v>-0.125</v>
      </c>
      <c r="Y31" s="163">
        <f ca="1">IF(rF1.CheckBasePlate=1,0,IF(rF1.CheckFoundation=1,-rF1.PlotFoundationWidth/2,-INDEX(rF1.WallThickness,1,1)/2))</f>
        <v>-0.125</v>
      </c>
      <c r="Z31" s="163">
        <f ca="1">IF(rF1.CheckBasePlate=1,0,IF(rF1.CheckFoundation=1,rF1.PlotFoundationWidth/2,INDEX(rF1.WallThickness,1,1)/2))</f>
        <v>0.125</v>
      </c>
      <c r="AA31" s="164">
        <f ca="1">IF(rF1.CheckBasePlate=1,0,IF(rF1.CheckFoundation=1,rF1.PlotFoundationWidth/2,INDEX(rF1.WallThickness,1,1)/2))</f>
        <v>0.125</v>
      </c>
      <c r="AB31" s="165"/>
      <c r="AC31" s="158" t="str">
        <f>rP2.OutputWall01</f>
        <v>Wand 1</v>
      </c>
      <c r="AD31" s="162" t="s">
        <v>93</v>
      </c>
      <c r="AE31" s="163">
        <f>INDEX(rF1.WallLenght,1,1)/2</f>
        <v>1.6</v>
      </c>
      <c r="AF31" s="163">
        <f>INDEX(rF1.WallLenght,1,1)/2</f>
        <v>1.6</v>
      </c>
      <c r="AG31" s="163">
        <f>-INDEX(rF1.WallLenght,1,1)/2</f>
        <v>-1.6</v>
      </c>
      <c r="AH31" s="163">
        <f>-INDEX(rF1.WallLenght,1,1)/2</f>
        <v>-1.6</v>
      </c>
      <c r="AI31" s="163">
        <f>INDEX(rF1.WallLenght,1,1)/2</f>
        <v>1.6</v>
      </c>
      <c r="AJ31" s="164">
        <f>INDEX(rF1.WallLenght,1,1)/2</f>
        <v>1.6</v>
      </c>
      <c r="AK31" s="118"/>
    </row>
    <row r="32" spans="5:37" ht="15.75" thickTop="1" thickBot="1" x14ac:dyDescent="0.25">
      <c r="K32" s="146" t="s">
        <v>481</v>
      </c>
      <c r="L32" s="146"/>
      <c r="M32" s="153"/>
      <c r="N32" s="154"/>
      <c r="O32" s="153"/>
      <c r="P32" s="131"/>
      <c r="Q32" s="131"/>
      <c r="S32" s="155"/>
      <c r="T32" s="166"/>
      <c r="U32" s="167" t="s">
        <v>94</v>
      </c>
      <c r="V32" s="168">
        <v>0</v>
      </c>
      <c r="W32" s="168">
        <f ca="1">IF(rF1.CheckBasePlate=1,0,rF1.PlotHeightFirstFloor)</f>
        <v>2.5</v>
      </c>
      <c r="X32" s="168">
        <f ca="1">IF(rF1.CheckBasePlate=1,0,rF1.PlotHeightFirstFloor)</f>
        <v>2.5</v>
      </c>
      <c r="Y32" s="168">
        <v>0</v>
      </c>
      <c r="Z32" s="168">
        <v>0</v>
      </c>
      <c r="AA32" s="169">
        <f ca="1">IF(rF1.CheckBasePlate=1,0,IF(rF1.CheckFoundation=1,rF1.PlotFoundationHeight/2,INDEX(rF1.WallHeight,1,1)/2))</f>
        <v>1.25</v>
      </c>
      <c r="AB32" s="165"/>
      <c r="AC32" s="166"/>
      <c r="AD32" s="167" t="s">
        <v>94</v>
      </c>
      <c r="AE32" s="168">
        <v>0</v>
      </c>
      <c r="AF32" s="168">
        <f ca="1">IF(rF1.CheckBasePlate=1,0,rF1.PlotHeightFirstFloor)</f>
        <v>2.5</v>
      </c>
      <c r="AG32" s="168">
        <f ca="1">IF(rF1.CheckBasePlate=1,0,rF1.PlotHeightFirstFloor)</f>
        <v>2.5</v>
      </c>
      <c r="AH32" s="168">
        <v>0</v>
      </c>
      <c r="AI32" s="168">
        <v>0</v>
      </c>
      <c r="AJ32" s="169">
        <f ca="1">IF(rF1.CheckBasePlate=1,0,IF(rF1.CheckFoundation=1,rF1.PlotFoundationHeight/2,INDEX(rF1.WallHeight,1,1)/2))</f>
        <v>1.25</v>
      </c>
      <c r="AK32" s="118"/>
    </row>
    <row r="33" spans="5:37" ht="17.25" thickTop="1" thickBot="1" x14ac:dyDescent="0.25">
      <c r="K33" s="170" t="s">
        <v>215</v>
      </c>
      <c r="L33" s="146" t="s">
        <v>43</v>
      </c>
      <c r="M33" s="171" t="str">
        <f ca="1">IF(rF1.CheckFoundation=1,"-",rF1.MasonryStrenghtChar01)</f>
        <v>-</v>
      </c>
      <c r="N33" s="172">
        <f ca="1">rF1.MasonryStrenghtChar02</f>
        <v>5.2</v>
      </c>
      <c r="O33" s="171">
        <f ca="1">IF(rF1.CheckWallNotExisting=1,"-",rF1.MasonryStrenghtChar03)</f>
        <v>5.2</v>
      </c>
      <c r="P33" s="131"/>
      <c r="Q33" s="131"/>
      <c r="S33" s="155" t="s">
        <v>470</v>
      </c>
      <c r="T33" s="158" t="str">
        <f>rP2.OutputWall02</f>
        <v>Wand 2</v>
      </c>
      <c r="U33" s="162" t="s">
        <v>93</v>
      </c>
      <c r="V33" s="163">
        <f ca="1">rF1.WallThickness02/2</f>
        <v>0.21249999999999999</v>
      </c>
      <c r="W33" s="163">
        <f ca="1">rF1.WallThickness02/2</f>
        <v>0.21249999999999999</v>
      </c>
      <c r="X33" s="163">
        <f ca="1">-rF1.WallThickness02/2</f>
        <v>-0.21249999999999999</v>
      </c>
      <c r="Y33" s="163">
        <f ca="1">-rF1.WallThickness02/2</f>
        <v>-0.21249999999999999</v>
      </c>
      <c r="Z33" s="163">
        <f ca="1">rF1.WallThickness02/2</f>
        <v>0.21249999999999999</v>
      </c>
      <c r="AA33" s="164">
        <f ca="1">rF1.WallThickness02/2</f>
        <v>0.21249999999999999</v>
      </c>
      <c r="AB33" s="165"/>
      <c r="AC33" s="158" t="str">
        <f>rP2.OutputWall02</f>
        <v>Wand 2</v>
      </c>
      <c r="AD33" s="162" t="s">
        <v>93</v>
      </c>
      <c r="AE33" s="163">
        <f>INDEX(rF1.WallLenght,1,2)/2</f>
        <v>1</v>
      </c>
      <c r="AF33" s="163">
        <f>INDEX(rF1.WallLenght,1,2)/2</f>
        <v>1</v>
      </c>
      <c r="AG33" s="163">
        <f>-INDEX(rF1.WallLenght,1,2)/2</f>
        <v>-1</v>
      </c>
      <c r="AH33" s="163">
        <f>-INDEX(rF1.WallLenght,1,2)/2</f>
        <v>-1</v>
      </c>
      <c r="AI33" s="163">
        <f>INDEX(rF1.WallLenght,1,2)/2</f>
        <v>1</v>
      </c>
      <c r="AJ33" s="164">
        <f>INDEX(rF1.WallLenght,1,2)/2</f>
        <v>1</v>
      </c>
      <c r="AK33" s="118"/>
    </row>
    <row r="34" spans="5:37" ht="15.75" thickTop="1" thickBot="1" x14ac:dyDescent="0.25">
      <c r="K34" s="146" t="s">
        <v>216</v>
      </c>
      <c r="L34" s="146" t="s">
        <v>42</v>
      </c>
      <c r="M34" s="173">
        <f ca="1">rF1.WallThickness</f>
        <v>0.25</v>
      </c>
      <c r="N34" s="174">
        <f ca="1">rF1.WallThickness</f>
        <v>0.42499999999999999</v>
      </c>
      <c r="O34" s="173">
        <f ca="1">rF1.WallThickness</f>
        <v>0.42499999999999999</v>
      </c>
      <c r="P34" s="148"/>
      <c r="Q34" s="175"/>
      <c r="R34" s="117"/>
      <c r="S34" s="155"/>
      <c r="T34" s="166"/>
      <c r="U34" s="167" t="s">
        <v>94</v>
      </c>
      <c r="V34" s="168">
        <f ca="1">rF1.PlotHeightFirstFloor+IF(rF1.CheckSlabExisting03,MAX(INDEX(rF1.SlabThickness,1,1),INDEX(rF1.SlabThickness,1,3)),INDEX(rF1.SlabThickness,1,1))</f>
        <v>2.7</v>
      </c>
      <c r="W34" s="168">
        <f ca="1">rF1.PlotHeightFirstFloor+IF(rF1.CheckSlabExisting03,MAX(INDEX(rF1.SlabThickness,1,1),INDEX(rF1.SlabThickness,1,3)),INDEX(rF1.SlabThickness,1,1))+rF1.WallHeight02</f>
        <v>5.3450000000000006</v>
      </c>
      <c r="X34" s="168">
        <f ca="1">rF1.PlotHeightFirstFloor+IF(rF1.CheckSlabExisting03,MAX(INDEX(rF1.SlabThickness,1,1),INDEX(rF1.SlabThickness,1,3)),INDEX(rF1.SlabThickness,1,1))+rF1.WallHeight02</f>
        <v>5.3450000000000006</v>
      </c>
      <c r="Y34" s="168">
        <f ca="1">rF1.PlotHeightFirstFloor+IF(rF1.CheckSlabExisting03,MAX(INDEX(rF1.SlabThickness,1,1),INDEX(rF1.SlabThickness,1,3)),INDEX(rF1.SlabThickness,1,1))</f>
        <v>2.7</v>
      </c>
      <c r="Z34" s="168">
        <f ca="1">rF1.PlotHeightFirstFloor+IF(rF1.CheckSlabExisting03,MAX(INDEX(rF1.SlabThickness,1,1),INDEX(rF1.SlabThickness,1,3)),INDEX(rF1.SlabThickness,1,1))</f>
        <v>2.7</v>
      </c>
      <c r="AA34" s="168">
        <f ca="1">rF1.PlotHeightFirstFloor+IF(rF1.CheckSlabExisting03,MAX(INDEX(rF1.SlabThickness,1,1),INDEX(rF1.SlabThickness,1,3)),INDEX(rF1.SlabThickness,1,1))+rF1.WallHeight02/2</f>
        <v>4.0225</v>
      </c>
      <c r="AB34" s="165"/>
      <c r="AC34" s="166"/>
      <c r="AD34" s="167" t="s">
        <v>94</v>
      </c>
      <c r="AE34" s="168">
        <f ca="1">rF1.PlotHeightFirstFloor+IF(rF1.CheckSlabExisting03,MAX(INDEX(rF1.SlabThickness,1,1),INDEX(rF1.SlabThickness,1,3)),INDEX(rF1.SlabThickness,1,1))</f>
        <v>2.7</v>
      </c>
      <c r="AF34" s="168">
        <f ca="1">rF1.PlotHeightFirstFloor+IF(rF1.CheckSlabExisting03,MAX(INDEX(rF1.SlabThickness,1,1),INDEX(rF1.SlabThickness,1,3)),INDEX(rF1.SlabThickness,1,1))+rF1.WallHeight02</f>
        <v>5.3450000000000006</v>
      </c>
      <c r="AG34" s="168">
        <f ca="1">rF1.PlotHeightFirstFloor+IF(rF1.CheckSlabExisting03,MAX(INDEX(rF1.SlabThickness,1,1),INDEX(rF1.SlabThickness,1,3)),INDEX(rF1.SlabThickness,1,1))+rF1.WallHeight02</f>
        <v>5.3450000000000006</v>
      </c>
      <c r="AH34" s="168">
        <f ca="1">rF1.PlotHeightFirstFloor+IF(rF1.CheckSlabExisting03,MAX(INDEX(rF1.SlabThickness,1,1),INDEX(rF1.SlabThickness,1,3)),INDEX(rF1.SlabThickness,1,1))</f>
        <v>2.7</v>
      </c>
      <c r="AI34" s="168">
        <f ca="1">rF1.PlotHeightFirstFloor+IF(rF1.CheckSlabExisting03,MAX(INDEX(rF1.SlabThickness,1,1),INDEX(rF1.SlabThickness,1,3)),INDEX(rF1.SlabThickness,1,1))</f>
        <v>2.7</v>
      </c>
      <c r="AJ34" s="169">
        <f ca="1">rF1.PlotHeightFirstFloor+IF(rF1.CheckSlabExisting03,MAX(INDEX(rF1.SlabThickness,1,1),INDEX(rF1.SlabThickness,1,3)),INDEX(rF1.SlabThickness,1,1))+rF1.WallHeight02/2</f>
        <v>4.0225</v>
      </c>
      <c r="AK34" s="118"/>
    </row>
    <row r="35" spans="5:37" ht="15.75" thickTop="1" thickBot="1" x14ac:dyDescent="0.25">
      <c r="K35" s="146" t="s">
        <v>563</v>
      </c>
      <c r="L35" s="146" t="s">
        <v>2</v>
      </c>
      <c r="M35" s="83">
        <v>2.5</v>
      </c>
      <c r="N35" s="84">
        <v>2.645</v>
      </c>
      <c r="O35" s="83">
        <v>2.645</v>
      </c>
      <c r="P35" s="148" t="s">
        <v>266</v>
      </c>
      <c r="Q35" s="131"/>
      <c r="S35" s="155" t="str">
        <f>IF(rF1.CheckWallNotExisting=1,"","W3")</f>
        <v>W3</v>
      </c>
      <c r="T35" s="158" t="str">
        <f>IF(rF1.CheckWallNotExisting=1,"",rP2.OutputWall03)</f>
        <v>Wand 3</v>
      </c>
      <c r="U35" s="162" t="s">
        <v>93</v>
      </c>
      <c r="V35" s="163">
        <f ca="1">IF(rF1.CheckWallNotExisting=1,0,INDEX(rF1.WallThickness,1,3)/2)</f>
        <v>0.21249999999999999</v>
      </c>
      <c r="W35" s="163">
        <f ca="1">IF(rF1.CheckWallNotExisting=1,0,INDEX(rF1.WallThickness,1,3)/2)</f>
        <v>0.21249999999999999</v>
      </c>
      <c r="X35" s="163">
        <f ca="1">IF(rF1.CheckWallNotExisting=1,0,-INDEX(rF1.WallThickness,1,3)/2)</f>
        <v>-0.21249999999999999</v>
      </c>
      <c r="Y35" s="163">
        <f ca="1">IF(rF1.CheckWallNotExisting=1,0,-INDEX(rF1.WallThickness,1,3)/2)</f>
        <v>-0.21249999999999999</v>
      </c>
      <c r="Z35" s="163">
        <f ca="1">IF(rF1.CheckWallNotExisting=1,0,INDEX(rF1.WallThickness,1,3)/2)</f>
        <v>0.21249999999999999</v>
      </c>
      <c r="AA35" s="164">
        <f ca="1">IF(rF1.CheckWallNotExisting=1,0,INDEX(rF1.WallThickness,1,3)/2)</f>
        <v>0.21249999999999999</v>
      </c>
      <c r="AB35" s="165"/>
      <c r="AC35" s="158" t="str">
        <f>IF(rF1.CheckWallNotExisting=1,"",rP2.OutputWall03)</f>
        <v>Wand 3</v>
      </c>
      <c r="AD35" s="162" t="s">
        <v>93</v>
      </c>
      <c r="AE35" s="163">
        <f>IF(rF1.CheckWallNotExisting=1,0,INDEX(rF1.WallLenght,1,3)/2)</f>
        <v>1</v>
      </c>
      <c r="AF35" s="163">
        <f>IF(rF1.CheckWallNotExisting=1,0,INDEX(rF1.WallLenght,1,3)/2)</f>
        <v>1</v>
      </c>
      <c r="AG35" s="163">
        <f>IF(rF1.CheckWallNotExisting=1,0,-INDEX(rF1.WallLenght,1,3)/2)</f>
        <v>-1</v>
      </c>
      <c r="AH35" s="163">
        <f>IF(rF1.CheckWallNotExisting=1,0,-INDEX(rF1.WallLenght,1,3)/2)</f>
        <v>-1</v>
      </c>
      <c r="AI35" s="163">
        <f>IF(rF1.CheckWallNotExisting=1,0,INDEX(rF1.WallLenght,1,3)/2)</f>
        <v>1</v>
      </c>
      <c r="AJ35" s="164">
        <f>IF(rF1.CheckWallNotExisting=1,0,INDEX(rF1.WallLenght,1,3)/2)</f>
        <v>1</v>
      </c>
      <c r="AK35" s="118"/>
    </row>
    <row r="36" spans="5:37" ht="15.75" thickTop="1" thickBot="1" x14ac:dyDescent="0.25">
      <c r="K36" s="146" t="s">
        <v>218</v>
      </c>
      <c r="L36" s="146" t="s">
        <v>85</v>
      </c>
      <c r="M36" s="83">
        <v>3.2</v>
      </c>
      <c r="N36" s="84">
        <v>2</v>
      </c>
      <c r="O36" s="83">
        <v>2</v>
      </c>
      <c r="P36" s="131"/>
      <c r="Q36" s="131"/>
      <c r="S36" s="155"/>
      <c r="T36" s="166"/>
      <c r="U36" s="167" t="s">
        <v>94</v>
      </c>
      <c r="V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W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8.1900000000000013</v>
      </c>
      <c r="X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8.1900000000000013</v>
      </c>
      <c r="Y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Z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AA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2)</f>
        <v>6.8675000000000006</v>
      </c>
      <c r="AB36" s="165"/>
      <c r="AC36" s="166"/>
      <c r="AD36" s="167" t="s">
        <v>94</v>
      </c>
      <c r="AE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AF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8.1900000000000013</v>
      </c>
      <c r="AG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8.1900000000000013</v>
      </c>
      <c r="AH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AI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AJ36" s="169">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2)</f>
        <v>6.8675000000000006</v>
      </c>
      <c r="AK36" s="118"/>
    </row>
    <row r="37" spans="5:37" ht="15.75" thickTop="1" thickBot="1" x14ac:dyDescent="0.25">
      <c r="K37" s="146" t="s">
        <v>376</v>
      </c>
      <c r="L37" s="146"/>
      <c r="M37" s="176"/>
      <c r="N37" s="177"/>
      <c r="O37" s="176"/>
      <c r="P37" s="131"/>
      <c r="Q37" s="131"/>
      <c r="S37" s="155"/>
      <c r="AA37" s="178"/>
      <c r="AB37" s="165"/>
      <c r="AJ37" s="178"/>
      <c r="AK37" s="118"/>
    </row>
    <row r="38" spans="5:37" ht="15.75" thickTop="1" thickBot="1" x14ac:dyDescent="0.25">
      <c r="E38" s="145" t="b">
        <f>IF(rF1.FireResClassSelection=1,TRUE,FALSE)</f>
        <v>0</v>
      </c>
      <c r="F38" s="145" t="b">
        <f>IF(AND(rF1.WallLenght02&lt;rP1.MaxLengthFireOutput,NOT(rF1.FireResNN)),TRUE,FALSE)</f>
        <v>0</v>
      </c>
      <c r="G38" s="145" t="b">
        <f ca="1">IF(AND(MIN(rF1.BearingDepthBottomRelated,rF1.BearingDepthTopRelated)&lt;rP1.MinBearingDepthFire,NOT(rF1.FireResNN)),TRUE,FALSE)</f>
        <v>1</v>
      </c>
      <c r="K38" s="146" t="s">
        <v>568</v>
      </c>
      <c r="L38" s="146"/>
      <c r="M38" s="388" t="str">
        <f ca="1">IF(rF1.CheckFireResManual02,rP2.OutputFireProofManual02,IF(rF1.CheckFireResColumn,rP2.FireProofManual,""))</f>
        <v xml:space="preserve">a &lt; 2/3 · t! → Brandnachweis ist händisch zu führen! </v>
      </c>
      <c r="N38" s="177"/>
      <c r="O38" s="387"/>
      <c r="P38" s="131"/>
      <c r="Q38" s="131"/>
      <c r="S38" s="155" t="s">
        <v>471</v>
      </c>
      <c r="T38" s="158" t="str">
        <f>rP2.OutputSlab01</f>
        <v>Decke 1</v>
      </c>
      <c r="U38" s="162" t="s">
        <v>93</v>
      </c>
      <c r="V38" s="163">
        <f ca="1">rF1.DistanceBottom02-rF1.WallThickness02/2</f>
        <v>-3.2500000000000001E-2</v>
      </c>
      <c r="W38" s="163">
        <f ca="1">rF1.DistanceBottom02-rF1.WallThickness02/2</f>
        <v>-3.2500000000000001E-2</v>
      </c>
      <c r="X38" s="163">
        <f ca="1">rF1.WallThickness02/2+INDEX(rF1.SlabSpanPerpendicular,1,1)</f>
        <v>5.7125000000000004</v>
      </c>
      <c r="Y38" s="163">
        <f ca="1">rF1.WallThickness02/2+INDEX(rF1.SlabSpanPerpendicular,1,1)</f>
        <v>5.7125000000000004</v>
      </c>
      <c r="Z38" s="163">
        <f ca="1">rF1.WallThickness02/2+INDEX(rF1.SlabSpanPerpendicular,1,1)/2</f>
        <v>2.9624999999999999</v>
      </c>
      <c r="AA38" s="164">
        <f ca="1">rF1.DistanceBottom02-rF1.WallThickness02/2</f>
        <v>-3.2500000000000001E-2</v>
      </c>
      <c r="AB38" s="165"/>
      <c r="AC38" s="158" t="str">
        <f>rP2.OutputSlab01</f>
        <v>Decke 1</v>
      </c>
      <c r="AD38" s="162" t="s">
        <v>93</v>
      </c>
      <c r="AE38" s="163">
        <f>-INDEX(rF1.SlabInfluenceWidth,1,1)/2</f>
        <v>-1.6</v>
      </c>
      <c r="AF38" s="163">
        <f>INDEX(rF1.SlabInfluenceWidth,1,1)/2</f>
        <v>1.6</v>
      </c>
      <c r="AG38" s="163">
        <f>INDEX(rF1.SlabInfluenceWidth,1,1)/2</f>
        <v>1.6</v>
      </c>
      <c r="AH38" s="163">
        <f>-INDEX(rF1.SlabInfluenceWidth,1,1)/2</f>
        <v>-1.6</v>
      </c>
      <c r="AI38" s="163">
        <f>-INDEX(rF1.SlabInfluenceWidth,1,1)/2</f>
        <v>-1.6</v>
      </c>
      <c r="AJ38" s="164">
        <f>(INDEX(rF1.SlabInfluenceWidth,1,1)-(INDEX(rF1.SlabInfluenceWidth,1,1)-INDEX(rF1.WallLenght,1,1)))/4</f>
        <v>0.8</v>
      </c>
      <c r="AK38" s="118"/>
    </row>
    <row r="39" spans="5:37" ht="15.75" thickTop="1" thickBot="1" x14ac:dyDescent="0.25">
      <c r="K39" s="170" t="s">
        <v>495</v>
      </c>
      <c r="L39" s="146"/>
      <c r="M39" s="153"/>
      <c r="N39" s="154"/>
      <c r="O39" s="153"/>
      <c r="P39" s="131"/>
      <c r="Q39" s="131"/>
      <c r="S39" s="155"/>
      <c r="T39" s="166"/>
      <c r="U39" s="167" t="s">
        <v>94</v>
      </c>
      <c r="V39" s="168">
        <f ca="1">rF1.PlotHeightFirstFloor+IF(rF1.CheckSlabExisting03,MIN(INDEX(rF1.SlabThickness,1,1),INDEX(rF1.SlabThickness,1,3)))</f>
        <v>2.5</v>
      </c>
      <c r="W39" s="168">
        <f ca="1">rF1.PlotHeightFirstFloor+INDEX(rF1.SlabThickness,1,1)</f>
        <v>2.7</v>
      </c>
      <c r="X39" s="168">
        <f ca="1">rF1.PlotHeightFirstFloor+INDEX(rF1.SlabThickness,1,1)</f>
        <v>2.7</v>
      </c>
      <c r="Y39" s="168">
        <f ca="1">rF1.PlotHeightFirstFloor</f>
        <v>2.5</v>
      </c>
      <c r="Z39" s="168">
        <f ca="1">rF1.PlotHeightFirstFloor</f>
        <v>2.5</v>
      </c>
      <c r="AA39" s="169">
        <f ca="1">rF1.PlotHeightFirstFloor</f>
        <v>2.5</v>
      </c>
      <c r="AB39" s="165"/>
      <c r="AC39" s="166"/>
      <c r="AD39" s="167" t="s">
        <v>94</v>
      </c>
      <c r="AE39" s="168">
        <f ca="1">rF1.PlotHeightFirstFloor</f>
        <v>2.5</v>
      </c>
      <c r="AF39" s="168">
        <f ca="1">rF1.PlotHeightFirstFloor</f>
        <v>2.5</v>
      </c>
      <c r="AG39" s="168">
        <f ca="1">rF1.PlotHeightFirstFloor+IF(rF1.CheckSlabExisting03,MAX(INDEX(rF1.SlabThickness,1,1),INDEX(rF1.SlabThickness,1,3)),INDEX(rF1.SlabThickness,1,1))</f>
        <v>2.7</v>
      </c>
      <c r="AH39" s="168">
        <f ca="1">rF1.PlotHeightFirstFloor+IF(rF1.CheckSlabExisting03,MAX(INDEX(rF1.SlabThickness,1,1),INDEX(rF1.SlabThickness,1,3)),INDEX(rF1.SlabThickness,1,1))</f>
        <v>2.7</v>
      </c>
      <c r="AI39" s="168">
        <f ca="1">rF1.PlotHeightFirstFloor</f>
        <v>2.5</v>
      </c>
      <c r="AJ39" s="169">
        <f ca="1">rF1.PlotHeightFirstFloor</f>
        <v>2.5</v>
      </c>
      <c r="AK39" s="118"/>
    </row>
    <row r="40" spans="5:37" ht="15.75" thickTop="1" thickBot="1" x14ac:dyDescent="0.25">
      <c r="K40" s="170" t="s">
        <v>496</v>
      </c>
      <c r="L40" s="146"/>
      <c r="M40" s="153"/>
      <c r="N40" s="154"/>
      <c r="O40" s="153"/>
      <c r="P40" s="131"/>
      <c r="Q40" s="131"/>
      <c r="S40" s="155" t="s">
        <v>472</v>
      </c>
      <c r="T40" s="158" t="str">
        <f>rP2.OutputSlab02</f>
        <v>Decke 2</v>
      </c>
      <c r="U40" s="162" t="s">
        <v>93</v>
      </c>
      <c r="V40" s="163">
        <f ca="1">rF1.DistanceTop02-rF1.WallThickness02/2</f>
        <v>-3.2500000000000001E-2</v>
      </c>
      <c r="W40" s="163">
        <f ca="1">rF1.DistanceTop02-rF1.WallThickness02/2</f>
        <v>-3.2500000000000001E-2</v>
      </c>
      <c r="X40" s="163">
        <f ca="1">rF1.WallThickness02/2+INDEX(rF1.SlabSpanPerpendicular,1,2)</f>
        <v>5.7125000000000004</v>
      </c>
      <c r="Y40" s="163">
        <f ca="1">rF1.WallThickness02/2+INDEX(rF1.SlabSpanPerpendicular,1,2)</f>
        <v>5.7125000000000004</v>
      </c>
      <c r="Z40" s="163">
        <f ca="1">rF1.WallThickness02/2+INDEX(rF1.SlabSpanPerpendicular,1,2)/2</f>
        <v>2.9624999999999999</v>
      </c>
      <c r="AA40" s="164">
        <f ca="1">rF1.DistanceTop02-rF1.WallThickness02/2</f>
        <v>-3.2500000000000001E-2</v>
      </c>
      <c r="AB40" s="165"/>
      <c r="AC40" s="158" t="str">
        <f>rP2.OutputSlab02</f>
        <v>Decke 2</v>
      </c>
      <c r="AD40" s="162" t="s">
        <v>93</v>
      </c>
      <c r="AE40" s="163">
        <f>-INDEX(rF1.SlabInfluenceWidth,1,2)/2</f>
        <v>-1.6</v>
      </c>
      <c r="AF40" s="163">
        <f>INDEX(rF1.SlabInfluenceWidth,1,2)/2</f>
        <v>1.6</v>
      </c>
      <c r="AG40" s="163">
        <f>INDEX(rF1.SlabInfluenceWidth,1,2)/2</f>
        <v>1.6</v>
      </c>
      <c r="AH40" s="163">
        <f>-INDEX(rF1.SlabInfluenceWidth,1,2)/2</f>
        <v>-1.6</v>
      </c>
      <c r="AI40" s="163">
        <f>-INDEX(rF1.SlabInfluenceWidth,1,2)/2</f>
        <v>-1.6</v>
      </c>
      <c r="AJ40" s="164">
        <f>(INDEX(rF1.SlabInfluenceWidth,1,2)-(INDEX(rF1.SlabInfluenceWidth,1,2)-INDEX(rF1.WallLenght,1,2)))/4</f>
        <v>0.5</v>
      </c>
      <c r="AK40" s="118"/>
    </row>
    <row r="41" spans="5:37" ht="15.75" thickTop="1" thickBot="1" x14ac:dyDescent="0.25">
      <c r="E41" s="179"/>
      <c r="K41" s="170" t="s">
        <v>220</v>
      </c>
      <c r="L41" s="146"/>
      <c r="M41" s="180"/>
      <c r="N41" s="181"/>
      <c r="O41" s="180"/>
      <c r="P41" s="131"/>
      <c r="Q41" s="131"/>
      <c r="S41" s="155"/>
      <c r="T41" s="166"/>
      <c r="U41" s="167" t="s">
        <v>94</v>
      </c>
      <c r="V41" s="168">
        <f ca="1">rF1.PlotHeightFirstFloor+IF(rF1.CheckSlabExisting03,MAX(INDEX(rF1.SlabThickness,1,1),INDEX(rF1.SlabThickness,1,3)),INDEX(rF1.SlabThickness,1,1))+rF1.WallHeight02+IF(rF1.CheckSlabExisting04,MIN(INDEX(rF1.SlabThickness,1,2),INDEX(rF1.SlabThickness,1,4)))</f>
        <v>5.3450000000000006</v>
      </c>
      <c r="W41" s="168">
        <f ca="1">rF1.PlotHeightFirstFloor+IF(rF1.CheckSlabExisting03,MAX(INDEX(rF1.SlabThickness,1,1),INDEX(rF1.SlabThickness,1,3)),INDEX(rF1.SlabThickness,1,1))+rF1.WallHeight02+INDEX(rF1.SlabThickness,1,2)</f>
        <v>5.5450000000000008</v>
      </c>
      <c r="X41" s="168">
        <f ca="1">rF1.PlotHeightFirstFloor+IF(rF1.CheckSlabExisting03,MAX(INDEX(rF1.SlabThickness,1,1),INDEX(rF1.SlabThickness,1,3)),INDEX(rF1.SlabThickness,1,1))+rF1.WallHeight02+INDEX(rF1.SlabThickness,1,2)</f>
        <v>5.5450000000000008</v>
      </c>
      <c r="Y41" s="168">
        <f ca="1">rF1.PlotHeightFirstFloor+IF(rF1.CheckSlabExisting03,MAX(INDEX(rF1.SlabThickness,1,1),INDEX(rF1.SlabThickness,1,3)),INDEX(rF1.SlabThickness,1,1))+rF1.WallHeight02</f>
        <v>5.3450000000000006</v>
      </c>
      <c r="Z41" s="168">
        <f ca="1">rF1.PlotHeightFirstFloor+IF(rF1.CheckSlabExisting03,MAX(INDEX(rF1.SlabThickness,1,1),INDEX(rF1.SlabThickness,1,3)),INDEX(rF1.SlabThickness,1,1))+rF1.WallHeight02</f>
        <v>5.3450000000000006</v>
      </c>
      <c r="AA41" s="168">
        <f ca="1">rF1.PlotHeightFirstFloor+IF(rF1.CheckSlabExisting03,MAX(INDEX(rF1.SlabThickness,1,1),INDEX(rF1.SlabThickness,1,3)),INDEX(rF1.SlabThickness,1,1))+rF1.WallHeight02</f>
        <v>5.3450000000000006</v>
      </c>
      <c r="AB41" s="165"/>
      <c r="AC41" s="166"/>
      <c r="AD41" s="167" t="s">
        <v>94</v>
      </c>
      <c r="AE41" s="168">
        <f ca="1">rF1.PlotHeightFirstFloor+IF(rF1.CheckSlabExisting03,MAX(INDEX(rF1.SlabThickness,1,1),INDEX(rF1.SlabThickness,1,3)),INDEX(rF1.SlabThickness,1,1))+rF1.WallHeight02</f>
        <v>5.3450000000000006</v>
      </c>
      <c r="AF41" s="168">
        <f ca="1">rF1.PlotHeightFirstFloor+IF(rF1.CheckSlabExisting03,MAX(INDEX(rF1.SlabThickness,1,1),INDEX(rF1.SlabThickness,1,3)),INDEX(rF1.SlabThickness,1,1))+rF1.WallHeight02</f>
        <v>5.3450000000000006</v>
      </c>
      <c r="AG41" s="168">
        <f ca="1">rF1.PlotHeightFirstFloor+IF(rF1.CheckSlabExisting03,MAX(INDEX(rF1.SlabThickness,1,1),INDEX(rF1.SlabThickness,1,3)),INDEX(rF1.SlabThickness,1,1))+rF1.WallHeight02+IF(rF1.CheckSlabExisting04,MAX(INDEX(rF1.SlabThickness,1,2),INDEX(rF1.SlabThickness,1,4)),INDEX(rF1.SlabThickness,1,2))</f>
        <v>5.5450000000000008</v>
      </c>
      <c r="AH41" s="168">
        <f ca="1">rF1.PlotHeightFirstFloor+IF(rF1.CheckSlabExisting03,MAX(INDEX(rF1.SlabThickness,1,1),INDEX(rF1.SlabThickness,1,3)),INDEX(rF1.SlabThickness,1,1))+rF1.WallHeight02+IF(rF1.CheckSlabExisting04,MAX(INDEX(rF1.SlabThickness,1,2),INDEX(rF1.SlabThickness,1,4)),INDEX(rF1.SlabThickness,1,2))</f>
        <v>5.5450000000000008</v>
      </c>
      <c r="AI41" s="168">
        <f ca="1">rF1.PlotHeightFirstFloor+IF(rF1.CheckSlabExisting03,MAX(INDEX(rF1.SlabThickness,1,1),INDEX(rF1.SlabThickness,1,3)),INDEX(rF1.SlabThickness,1,1))+rF1.WallHeight02</f>
        <v>5.3450000000000006</v>
      </c>
      <c r="AJ41" s="169">
        <f ca="1">rF1.PlotHeightFirstFloor+IF(rF1.CheckSlabExisting03,MAX(INDEX(rF1.SlabThickness,1,1),INDEX(rF1.SlabThickness,1,3)),INDEX(rF1.SlabThickness,1,1))+rF1.WallHeight02</f>
        <v>5.3450000000000006</v>
      </c>
      <c r="AK41" s="118"/>
    </row>
    <row r="42" spans="5:37" ht="17.25" thickTop="1" thickBot="1" x14ac:dyDescent="0.25">
      <c r="E42" s="64" t="b">
        <v>0</v>
      </c>
      <c r="K42" s="146" t="s">
        <v>221</v>
      </c>
      <c r="L42" s="146" t="s">
        <v>356</v>
      </c>
      <c r="M42" s="182" t="str">
        <f ca="1">IF(rF1.CheckWoodenSlab02,rP2.OutputEccentricityWoodenSlab,"")</f>
        <v/>
      </c>
      <c r="N42" s="84">
        <v>0</v>
      </c>
      <c r="O42" s="180"/>
      <c r="P42" s="131"/>
      <c r="Q42" s="131"/>
      <c r="S42" s="155" t="str">
        <f ca="1">IF(rF1.CheckSlabExisting03=0,"","D3")</f>
        <v/>
      </c>
      <c r="T42" s="158" t="str">
        <f ca="1">IF(rF1.CheckSlabExisting03=0,"",rP2.OutputSlab03)</f>
        <v/>
      </c>
      <c r="U42" s="162" t="s">
        <v>93</v>
      </c>
      <c r="V42" s="163">
        <f ca="1">IF(rF1.CheckSlabExisting03=0,0,rF1.DistanceBottom02-rF1.WallThickness02/2)</f>
        <v>0</v>
      </c>
      <c r="W42" s="163">
        <f ca="1">IF(rF1.CheckSlabExisting03=0,0,rF1.DistanceBottom02-rF1.WallThickness02/2)</f>
        <v>0</v>
      </c>
      <c r="X42" s="163">
        <f ca="1">IF(rF1.CheckSlabExisting03=0,0,-rF1.WallThickness02/2-INDEX(rF1.SlabSpanPerpendicular,1,3))</f>
        <v>0</v>
      </c>
      <c r="Y42" s="163">
        <f ca="1">IF(rF1.CheckSlabExisting03=0,0,-rF1.WallThickness02/2-INDEX(rF1.SlabSpanPerpendicular,1,3))</f>
        <v>0</v>
      </c>
      <c r="Z42" s="163">
        <f ca="1">IF(rF1.CheckSlabExisting03=0,0,-rF1.WallThickness02/2-INDEX(rF1.SlabSpanPerpendicular,1,3)/2)</f>
        <v>0</v>
      </c>
      <c r="AA42" s="164">
        <f ca="1">IF(rF1.CheckSlabExisting03=0,0,rF1.DistanceBottom02-rF1.WallThickness02/2)</f>
        <v>0</v>
      </c>
      <c r="AB42" s="165"/>
      <c r="AD42" s="134"/>
      <c r="AJ42" s="178"/>
      <c r="AK42" s="118"/>
    </row>
    <row r="43" spans="5:37" ht="17.25" thickTop="1" thickBot="1" x14ac:dyDescent="0.25">
      <c r="E43" s="64" t="b">
        <v>0</v>
      </c>
      <c r="K43" s="146" t="s">
        <v>222</v>
      </c>
      <c r="L43" s="146" t="s">
        <v>357</v>
      </c>
      <c r="M43" s="182" t="str">
        <f ca="1">IF(rF1.CheckWoodenSlab01,rP2.OutputEccentricityWoodenSlab,"")</f>
        <v/>
      </c>
      <c r="N43" s="84">
        <v>0</v>
      </c>
      <c r="O43" s="180"/>
      <c r="P43" s="131"/>
      <c r="Q43" s="131"/>
      <c r="S43" s="155"/>
      <c r="T43" s="166"/>
      <c r="U43" s="167" t="s">
        <v>94</v>
      </c>
      <c r="V43" s="168">
        <f ca="1">IF(rF1.CheckSlabExisting03=0,0,rF1.PlotHeightFirstFloor+MIN(INDEX(rF1.SlabThickness,1,1),INDEX(rF1.SlabThickness,1,3)))</f>
        <v>0</v>
      </c>
      <c r="W43" s="168">
        <f ca="1">IF(rF1.CheckSlabExisting03=0,0,rF1.PlotHeightFirstFloor+INDEX(rF1.SlabThickness,1,3))</f>
        <v>0</v>
      </c>
      <c r="X43" s="168">
        <f ca="1">IF(rF1.CheckSlabExisting03=0,0,rF1.PlotHeightFirstFloor+INDEX(rF1.SlabThickness,1,3))</f>
        <v>0</v>
      </c>
      <c r="Y43" s="168">
        <f ca="1">IF(rF1.CheckSlabExisting03=0,0,rF1.PlotHeightFirstFloor)</f>
        <v>0</v>
      </c>
      <c r="Z43" s="168">
        <f ca="1">IF(rF1.CheckSlabExisting03=0,0,rF1.PlotHeightFirstFloor)</f>
        <v>0</v>
      </c>
      <c r="AA43" s="169">
        <f ca="1">IF(rF1.CheckSlabExisting03=0,0,rF1.PlotHeightFirstFloor)</f>
        <v>0</v>
      </c>
      <c r="AB43" s="165"/>
      <c r="AD43" s="134"/>
      <c r="AJ43" s="178"/>
      <c r="AK43" s="118"/>
    </row>
    <row r="44" spans="5:37" ht="17.25" thickTop="1" thickBot="1" x14ac:dyDescent="0.25">
      <c r="E44" s="145">
        <f ca="1">MAX(INDEX(rF1.WallThickness,1,1)/3+0.04,0.1)</f>
        <v>0.12333333333333332</v>
      </c>
      <c r="F44" s="145">
        <f ca="1">MAX(rF1.WallThickness02/3+0.04,0.1)</f>
        <v>0.18166666666666667</v>
      </c>
      <c r="G44" s="179"/>
      <c r="H44" s="145" t="b">
        <f ca="1">IF(INDEX(rF1.SlabType,1,4)=rP1.CheckWordCantilever,TRUE,FALSE)</f>
        <v>0</v>
      </c>
      <c r="K44" s="185" t="s">
        <v>490</v>
      </c>
      <c r="L44" s="146" t="s">
        <v>358</v>
      </c>
      <c r="M44" s="83">
        <v>0.25</v>
      </c>
      <c r="N44" s="395">
        <v>0.245</v>
      </c>
      <c r="O44" s="173"/>
      <c r="P44" s="184" t="str">
        <f ca="1">IF(OR(AND(rF1.CheckSlabExisting04=1,INDEX(rF1.DistanceBottom,1,3)&lt;&gt;0),AND(rF1.CheckSlabExisting04=1,INDEX(rF1.DistanceTop,1,2)&lt;&gt;0)),IF(INDEX(rF1.SlabType,1,4)=rP1.CheckWordCantilever,rP2.OutputIsokorbSlab04,rP2.OutputContinuousSlab),IF(rF1.BearingDepthTop02&lt;rF1.MinBearingDepthTop02,IF(rF1.MinBearingDepthTop02=0.1,rP2.OutputBearingDepth02,rP2.OutputBearingDepth01&amp;" = "&amp;ROUND(rF1.MinBearingDepthTop02*1000,0)&amp;" mm!"),""))</f>
        <v/>
      </c>
      <c r="Q44" s="129"/>
      <c r="S44" s="155" t="str">
        <f ca="1">IF(rF1.CheckSlabExisting04=0,"","D4")</f>
        <v/>
      </c>
      <c r="T44" s="158" t="str">
        <f ca="1">IF(rF1.CheckSlabExisting04=0,"",rP2.OutputSlab04)</f>
        <v/>
      </c>
      <c r="U44" s="162" t="s">
        <v>93</v>
      </c>
      <c r="V44" s="163">
        <f ca="1">IF(rF1.CheckSlabExisting04=0,0,rF1.DistanceTop02-rF1.WallThickness02/2)</f>
        <v>0</v>
      </c>
      <c r="W44" s="163">
        <f ca="1">IF(rF1.CheckSlabExisting04=0,0,rF1.DistanceTop02-rF1.WallThickness02/2)</f>
        <v>0</v>
      </c>
      <c r="X44" s="163">
        <f ca="1">IF(rF1.CheckSlabExisting04=0,0,-rF1.WallThickness02/2-INDEX(rF1.SlabSpanPerpendicular,1,4))</f>
        <v>0</v>
      </c>
      <c r="Y44" s="163">
        <f ca="1">IF(rF1.CheckSlabExisting04=0,0,-rF1.WallThickness02/2-INDEX(rF1.SlabSpanPerpendicular,1,4))</f>
        <v>0</v>
      </c>
      <c r="Z44" s="163">
        <f ca="1">IF(rF1.CheckSlabExisting04=0,0,-rF1.WallThickness02/2-INDEX(rF1.SlabSpanPerpendicular,1,4)/2)</f>
        <v>0</v>
      </c>
      <c r="AA44" s="164">
        <f ca="1">IF(rF1.CheckSlabExisting04=0,0,rF1.DistanceTop02-rF1.WallThickness02/2)</f>
        <v>0</v>
      </c>
      <c r="AB44" s="165"/>
      <c r="AD44" s="134"/>
      <c r="AJ44" s="178"/>
      <c r="AK44" s="118"/>
    </row>
    <row r="45" spans="5:37" ht="17.25" thickTop="1" thickBot="1" x14ac:dyDescent="0.25">
      <c r="F45" s="145">
        <f ca="1">MAX(rF1.WallThickness02/3+0.04,0.1)</f>
        <v>0.18166666666666667</v>
      </c>
      <c r="G45" s="145">
        <f ca="1">MAX(INDEX(rF1.WallThickness,1,3)/3+0.04,0.1)</f>
        <v>0.18166666666666667</v>
      </c>
      <c r="H45" s="145" t="b">
        <f ca="1">IF(INDEX(rF1.SlabType,1,3)=rP1.CheckWordCantilever,TRUE,FALSE)</f>
        <v>0</v>
      </c>
      <c r="K45" s="187" t="s">
        <v>491</v>
      </c>
      <c r="L45" s="185" t="s">
        <v>359</v>
      </c>
      <c r="M45" s="173"/>
      <c r="N45" s="395">
        <v>0.245</v>
      </c>
      <c r="O45" s="83">
        <v>0.245</v>
      </c>
      <c r="P45" s="184" t="str">
        <f ca="1">IF(OR(AND(rF1.CheckSlabExisting03,INDEX(rF1.DistanceBottom,1,2)&lt;&gt;0),AND(rF1.CheckSlabExisting03,INDEX(rF1.DistanceTop,1,1)&lt;&gt;0)),IF(INDEX(rF1.SlabType,1,3)=rP1.CheckWordCantilever,rP2.OutputIsokorbSlab03,rP2.OutputContinuousSlab),IF(rF1.BearingDepthBottom02&lt;rF1.MinBearingDepthBottom02,IF(rF1.MinBearingDepthBottom02=0.1,rP2.OutputBearingDepth02,rP2.OutputBearingDepth01&amp;" = "&amp;ROUND(rF1.MinBearingDepthBottom02*1000,0)&amp;" mm!"),""))</f>
        <v/>
      </c>
      <c r="Q45" s="153"/>
      <c r="S45" s="155"/>
      <c r="T45" s="166"/>
      <c r="U45" s="167" t="s">
        <v>94</v>
      </c>
      <c r="V45" s="168">
        <f ca="1">IF(rF1.CheckSlabExisting04=0,0,rF1.PlotHeightFirstFloor+IF(rF1.CheckSlabExisting03,MAX(INDEX(rF1.SlabThickness,1,1),INDEX(rF1.SlabThickness,1,3)),INDEX(rF1.SlabThickness,1,1))+rF1.WallHeight02+MIN(INDEX(rF1.SlabThickness,1,2),INDEX(rF1.SlabThickness,1,4)))</f>
        <v>0</v>
      </c>
      <c r="W45" s="168">
        <f ca="1">IF(rF1.CheckSlabExisting04=0,0,rF1.PlotHeightFirstFloor+IF(rF1.CheckSlabExisting03,MAX(INDEX(rF1.SlabThickness,1,1),INDEX(rF1.SlabThickness,1,3)),INDEX(rF1.SlabThickness,1,1))+rF1.WallHeight02+INDEX(rF1.SlabThickness,1,4))</f>
        <v>0</v>
      </c>
      <c r="X45" s="168">
        <f ca="1">IF(rF1.CheckSlabExisting04=0,0,rF1.PlotHeightFirstFloor+IF(rF1.CheckSlabExisting03,MAX(INDEX(rF1.SlabThickness,1,1),INDEX(rF1.SlabThickness,1,3)),INDEX(rF1.SlabThickness,1,1))+rF1.WallHeight02+INDEX(rF1.SlabThickness,1,4))</f>
        <v>0</v>
      </c>
      <c r="Y45" s="168">
        <f ca="1">IF(rF1.CheckSlabExisting04=0,0,rF1.PlotHeightFirstFloor+IF(rF1.CheckSlabExisting03,MAX(INDEX(rF1.SlabThickness,1,1),INDEX(rF1.SlabThickness,1,3)),INDEX(rF1.SlabThickness,1,1))+rF1.WallHeight02)</f>
        <v>0</v>
      </c>
      <c r="Z45" s="168">
        <f ca="1">IF(rF1.CheckSlabExisting04=0,0,rF1.PlotHeightFirstFloor+IF(rF1.CheckSlabExisting03,MAX(INDEX(rF1.SlabThickness,1,1),INDEX(rF1.SlabThickness,1,3)),INDEX(rF1.SlabThickness,1,1))+rF1.WallHeight02)</f>
        <v>0</v>
      </c>
      <c r="AA45" s="168">
        <f ca="1">IF(rF1.CheckSlabExisting04=0,0,rF1.PlotHeightFirstFloor+IF(rF1.CheckSlabExisting03,MAX(INDEX(rF1.SlabThickness,1,1),INDEX(rF1.SlabThickness,1,3)),INDEX(rF1.SlabThickness,1,1))+rF1.WallHeight02)</f>
        <v>0</v>
      </c>
      <c r="AB45" s="165"/>
      <c r="AD45" s="134"/>
      <c r="AJ45" s="178"/>
      <c r="AK45" s="118"/>
    </row>
    <row r="46" spans="5:37" ht="17.25" thickTop="1" thickBot="1" x14ac:dyDescent="0.25">
      <c r="E46" s="145">
        <f ca="1">INDEX(rF1.WallThickness,1,1)</f>
        <v>0.25</v>
      </c>
      <c r="F46" s="145">
        <f ca="1">rF1.WallThickness02</f>
        <v>0.42499999999999999</v>
      </c>
      <c r="K46" s="146" t="s">
        <v>559</v>
      </c>
      <c r="L46" s="146" t="s">
        <v>562</v>
      </c>
      <c r="M46" s="399">
        <f ca="1">rF1.BearingDepthTop01/rF1.WallThickness</f>
        <v>1</v>
      </c>
      <c r="N46" s="390">
        <f ca="1">rF1.BearingDepthTop02/rF1.WallThickness02</f>
        <v>0.57647058823529407</v>
      </c>
      <c r="O46" s="173"/>
      <c r="P46" s="184"/>
      <c r="Q46" s="131"/>
      <c r="S46" s="155"/>
      <c r="T46" s="158" t="s">
        <v>119</v>
      </c>
      <c r="U46" s="162" t="s">
        <v>93</v>
      </c>
      <c r="V46" s="163">
        <f ca="1">MAX(MAX(rF1.PlotPoints01,ABS(MIN(rF1.PlotPoints01))))*rF1.PlotOutlineFactor01</f>
        <v>9.0090000000000021</v>
      </c>
      <c r="W46" s="186">
        <f ca="1">-MAX(MAX(rF1.PlotPoints01,ABS(MIN(rF1.PlotPoints01))))*rF1.PlotOutlineFactor01</f>
        <v>-9.0090000000000021</v>
      </c>
      <c r="AA46" s="178"/>
      <c r="AB46" s="155"/>
      <c r="AC46" s="158" t="s">
        <v>119</v>
      </c>
      <c r="AD46" s="162" t="s">
        <v>93</v>
      </c>
      <c r="AE46" s="163">
        <f ca="1">MAX(MAX(rF1.PlotPoints01,ABS(MIN(rF1.PlotPoints01))))*rF1.PlotOutlineFactor01</f>
        <v>9.0090000000000021</v>
      </c>
      <c r="AF46" s="186">
        <f ca="1">-MAX(MAX(rF1.PlotPoints01,ABS(MIN(rF1.PlotPoints01))))*rF1.PlotOutlineFactor01</f>
        <v>-9.0090000000000021</v>
      </c>
      <c r="AJ46" s="178"/>
      <c r="AK46" s="118"/>
    </row>
    <row r="47" spans="5:37" ht="17.25" thickTop="1" thickBot="1" x14ac:dyDescent="0.25">
      <c r="F47" s="145">
        <f ca="1">rF1.WallThickness02</f>
        <v>0.42499999999999999</v>
      </c>
      <c r="G47" s="145">
        <f ca="1">INDEX(rF1.WallThickness,1,3)</f>
        <v>0.42499999999999999</v>
      </c>
      <c r="K47" s="185" t="s">
        <v>560</v>
      </c>
      <c r="L47" s="185" t="s">
        <v>561</v>
      </c>
      <c r="M47" s="173"/>
      <c r="N47" s="391">
        <f ca="1">rF1.BearingDepthBottom02/rF1.WallThickness02</f>
        <v>0.57647058823529407</v>
      </c>
      <c r="O47" s="399">
        <f ca="1">rF1.BearingDepthBottom03/rF1.WallThickness</f>
        <v>0.57647058823529407</v>
      </c>
      <c r="P47" s="410"/>
      <c r="Q47" s="129"/>
      <c r="S47" s="188" t="s">
        <v>123</v>
      </c>
      <c r="T47" s="189">
        <v>1.1000000000000001</v>
      </c>
      <c r="U47" s="167" t="s">
        <v>94</v>
      </c>
      <c r="V47" s="168">
        <f ca="1">MAX(MAX(rF1.PlotPoints01,ABS(MIN(rF1.PlotPoints01))))*rF1.PlotOutlineFactor01</f>
        <v>9.0090000000000021</v>
      </c>
      <c r="W47" s="190">
        <f ca="1">MAX(MAX(rF1.PlotPoints01,ABS(MIN(rF1.PlotPoints01))))*rF1.PlotOutlineFactor01</f>
        <v>9.0090000000000021</v>
      </c>
      <c r="AA47" s="178"/>
      <c r="AB47" s="188" t="s">
        <v>123</v>
      </c>
      <c r="AC47" s="191">
        <f>rF1.PlotOutlineFactor01</f>
        <v>1.1000000000000001</v>
      </c>
      <c r="AD47" s="167" t="s">
        <v>94</v>
      </c>
      <c r="AE47" s="168">
        <f ca="1">MAX(MAX(rF1.PlotPoints01,ABS(MIN(rF1.PlotPoints01))))*rF1.PlotOutlineFactor01</f>
        <v>9.0090000000000021</v>
      </c>
      <c r="AF47" s="190">
        <f ca="1">MAX(MAX(rF1.PlotPoints01,ABS(MIN(rF1.PlotPoints01))))*rF1.PlotOutlineFactor01</f>
        <v>9.0090000000000021</v>
      </c>
      <c r="AJ47" s="178"/>
      <c r="AK47" s="118"/>
    </row>
    <row r="48" spans="5:37" ht="15" thickTop="1" x14ac:dyDescent="0.2">
      <c r="K48" s="142" t="s">
        <v>225</v>
      </c>
      <c r="L48" s="142"/>
      <c r="M48" s="143" t="s">
        <v>255</v>
      </c>
      <c r="N48" s="143" t="s">
        <v>256</v>
      </c>
      <c r="O48" s="143" t="s">
        <v>257</v>
      </c>
      <c r="P48" s="143" t="s">
        <v>258</v>
      </c>
      <c r="Q48" s="192"/>
      <c r="S48" s="193"/>
      <c r="AA48" s="178"/>
      <c r="AB48" s="165"/>
      <c r="AJ48" s="178"/>
      <c r="AK48" s="118"/>
    </row>
    <row r="49" spans="5:40" ht="15" thickBot="1" x14ac:dyDescent="0.25">
      <c r="E49" s="194">
        <f ca="1">IF(OR(OFFSET(rL1.Slab01Head,rF1.SlabTypeSelection01,0,1,1)=rP1.CheckwordBaseplate,AND(rF1.CheckWoodenSlab01=0,OFFSET(rL1.Slab03Head,rF1.SlabTypeSelection03,0,1,1)=rP1.CheckwordBaseplate)),1,0)</f>
        <v>0</v>
      </c>
      <c r="G49" s="194">
        <f ca="1">IF(OFFSET(rF1.Slab03List,MIN(rF1.SlabTypeSelection03-1,COUNTA(rF1.Slab03List)-1),0,1,1)=rP1.CheckwordNotExisting,0,1)</f>
        <v>0</v>
      </c>
      <c r="H49" s="194">
        <f ca="1">IF(OFFSET(rF1.Slab04List,MIN(rF1.SlabTypeSelection04-1,COUNTA(rF1.Slab04List)-1),0,1,1)=rP1.CheckwordNotExisting,0,1)</f>
        <v>0</v>
      </c>
      <c r="K49" s="146" t="s">
        <v>226</v>
      </c>
      <c r="L49" s="146"/>
      <c r="M49" s="195"/>
      <c r="N49" s="196"/>
      <c r="O49" s="196"/>
      <c r="P49" s="197"/>
      <c r="Q49" s="131"/>
      <c r="S49" s="193"/>
      <c r="T49" s="158" t="s">
        <v>178</v>
      </c>
      <c r="U49" s="186"/>
      <c r="V49" s="163"/>
      <c r="W49" s="163"/>
      <c r="X49" s="163"/>
      <c r="Y49" s="198"/>
      <c r="Z49" s="163"/>
      <c r="AA49" s="164"/>
      <c r="AB49" s="165"/>
      <c r="AJ49" s="178"/>
      <c r="AK49" s="118"/>
    </row>
    <row r="50" spans="5:40" ht="15.75" thickTop="1" thickBot="1" x14ac:dyDescent="0.25">
      <c r="E50" s="145">
        <f ca="1">IF(OFFSET(rL1.Slab01Head,rF1.SlabTypeSelection01,0,1,1)=rP1.CheckwordWoodenSlab,1,0)</f>
        <v>0</v>
      </c>
      <c r="F50" s="145">
        <f ca="1">IF(OFFSET(rL1.Slab02Head,rF1.SlabTypeSelection02,0,1,1)=rP1.CheckwordWoodenSlab,1,0)</f>
        <v>0</v>
      </c>
      <c r="G50" s="145">
        <f ca="1">IF(AND(OFFSET(rL1.Slab01Head,rF1.SlabTypeSelection01,0,1,1)=rP1.CheckwordWoodenSlab,rF1.CheckSlabExisting03),1,0)</f>
        <v>0</v>
      </c>
      <c r="H50" s="145">
        <f ca="1">IF(AND(OFFSET(rL1.Slab02Head,rF1.SlabTypeSelection02,0,1,1)=rP1.CheckwordWoodenSlab,rF1.CheckSlabExisting04),1,0)</f>
        <v>0</v>
      </c>
      <c r="K50" s="170" t="s">
        <v>219</v>
      </c>
      <c r="L50" s="146"/>
      <c r="M50" s="199"/>
      <c r="N50" s="200"/>
      <c r="O50" s="200"/>
      <c r="P50" s="201"/>
      <c r="Q50" s="131"/>
      <c r="S50" s="202" t="s">
        <v>123</v>
      </c>
      <c r="T50" s="203">
        <v>0.05</v>
      </c>
      <c r="U50" s="204"/>
      <c r="V50" s="134">
        <v>0</v>
      </c>
      <c r="W50" s="134">
        <v>1</v>
      </c>
      <c r="X50" s="134" t="s">
        <v>179</v>
      </c>
      <c r="Y50" s="166" t="s">
        <v>1</v>
      </c>
      <c r="Z50" s="205" t="s">
        <v>10</v>
      </c>
      <c r="AA50" s="206" t="s">
        <v>9</v>
      </c>
      <c r="AB50" s="165"/>
      <c r="AD50" s="207" t="s">
        <v>195</v>
      </c>
      <c r="AE50" s="158">
        <v>0</v>
      </c>
      <c r="AF50" s="162">
        <v>1</v>
      </c>
      <c r="AJ50" s="178"/>
      <c r="AK50" s="118"/>
      <c r="AM50" s="118"/>
      <c r="AN50" s="118"/>
    </row>
    <row r="51" spans="5:40" ht="17.25" thickTop="1" thickBot="1" x14ac:dyDescent="0.25">
      <c r="K51" s="146" t="s">
        <v>227</v>
      </c>
      <c r="L51" s="146" t="s">
        <v>3</v>
      </c>
      <c r="M51" s="85">
        <v>5.5</v>
      </c>
      <c r="N51" s="86">
        <v>5.5</v>
      </c>
      <c r="O51" s="86">
        <v>5</v>
      </c>
      <c r="P51" s="87">
        <v>2.5</v>
      </c>
      <c r="Q51" s="131"/>
      <c r="S51" s="155"/>
      <c r="T51" s="158" t="str">
        <f>rP2.OutputSlab01</f>
        <v>Decke 1</v>
      </c>
      <c r="U51" s="162" t="s">
        <v>93</v>
      </c>
      <c r="V51" s="163">
        <f>INDEX(rF1.PositioningLineLoad,1,1)</f>
        <v>0</v>
      </c>
      <c r="W51" s="163">
        <f>INDEX(rF1.PositioningLineLoad,1,1)</f>
        <v>0</v>
      </c>
      <c r="X51" s="208" t="str">
        <f ca="1">IF(OR(rF1.CheckWoodenSlab01,rF1.CheckBendingMomentSlabBottom,INDEX(rF1.DesignTotalLineLoad,1,1)=0,INDEX(rF1.PositioningLineLoad,1,1)=0),"",INDEX(rF1.DesignTotalLineLoad,1,1))</f>
        <v/>
      </c>
      <c r="Y51" s="209" t="s">
        <v>93</v>
      </c>
      <c r="Z51" s="118">
        <f ca="1">rF1.WallThickness02/2+INDEX(rF1.SlabSpanPerpendicular,1,1)</f>
        <v>5.7125000000000004</v>
      </c>
      <c r="AA51" s="178">
        <f ca="1">rF1.WallThickness02/2+INDEX(rF1.SlabSpanPerpendicular,1,1)</f>
        <v>5.7125000000000004</v>
      </c>
      <c r="AB51" s="165"/>
      <c r="AD51" s="210" t="s">
        <v>93</v>
      </c>
      <c r="AE51" s="163">
        <f ca="1">IF(rF1.FixedVergesNumber=0,0,INDEX(rF1.WallLenght,1,2)/2)</f>
        <v>0</v>
      </c>
      <c r="AF51" s="186">
        <f ca="1">IF(rF1.FixedVergesNumber=0,0,INDEX(rF1.WallLenght,1,2)/2)</f>
        <v>0</v>
      </c>
      <c r="AJ51" s="178"/>
      <c r="AK51" s="118"/>
    </row>
    <row r="52" spans="5:40" ht="17.25" thickTop="1" thickBot="1" x14ac:dyDescent="0.25">
      <c r="K52" s="146" t="s">
        <v>228</v>
      </c>
      <c r="L52" s="146" t="s">
        <v>4</v>
      </c>
      <c r="M52" s="85">
        <v>9.5</v>
      </c>
      <c r="N52" s="86">
        <v>9.5</v>
      </c>
      <c r="O52" s="86">
        <v>10</v>
      </c>
      <c r="P52" s="87">
        <v>10</v>
      </c>
      <c r="Q52" s="131"/>
      <c r="S52" s="155"/>
      <c r="T52" s="166"/>
      <c r="U52" s="167" t="s">
        <v>94</v>
      </c>
      <c r="V52" s="168">
        <f ca="1">IF(OR(rF1.CheckWoodenSlab01,rF1.CheckBendingMomentSlabBottom,INDEX(rF1.DesignTotalLineLoad,1,1)=0,INDEX(rF1.PositioningLineLoad,1,1)=0),-5,rF1.PlotHeightFirstFloor+INDEX(rF1.SlabThickness,1,1)+INDEX(rF1.DesignTotalLineLoad,1,1)*rF1.PlotFactorLineLoad)</f>
        <v>-5</v>
      </c>
      <c r="W52" s="168">
        <f ca="1">IF(OR(rF1.CheckWoodenSlab01,rF1.CheckBendingMomentSlabBottom,INDEX(rF1.DesignTotalLineLoad,1,1)=0,INDEX(rF1.PositioningLineLoad,1,1)=0),-5,rF1.PlotHeightFirstFloor+INDEX(rF1.SlabThickness,1,1))</f>
        <v>-5</v>
      </c>
      <c r="X52" s="190"/>
      <c r="Y52" s="209" t="s">
        <v>94</v>
      </c>
      <c r="Z52" s="118">
        <f ca="1">IF(AND(rF1.CheckBasePlate=0,INDEX(rF1.SlabBearingType,1,1)=rP1.CheckwordFixed),rF1.PlotHeightFirstFloor,-5)</f>
        <v>2.5</v>
      </c>
      <c r="AA52" s="178">
        <f ca="1">IF(AND(rF1.CheckBasePlate=0,OR(INDEX(rF1.SlabBearingType,1,1)=rP1.CheckwordHinged,rF1.CheckWoodenSlab01=1)),rF1.PlotHeightFirstFloor,-5)</f>
        <v>-5</v>
      </c>
      <c r="AB52" s="165"/>
      <c r="AD52" s="211" t="s">
        <v>94</v>
      </c>
      <c r="AE52" s="168">
        <f ca="1">IF(rF1.FixedVergesNumber=0,0,rF1.PlotHeightFirstFloor+IF(rF1.CheckSlabExisting03,MAX(INDEX(rF1.SlabThickness,1,1),INDEX(rF1.SlabThickness,1,3)),INDEX(rF1.SlabThickness,1,1)))</f>
        <v>0</v>
      </c>
      <c r="AF52" s="190">
        <f ca="1">IF(rF1.FixedVergesNumber=0,0,rF1.PlotHeightFirstFloor+IF(rF1.CheckSlabExisting03,MAX(INDEX(rF1.SlabThickness,1,1),INDEX(rF1.SlabThickness,1,3)),INDEX(rF1.SlabThickness,1,1))+rF1.WallHeight02)</f>
        <v>0</v>
      </c>
      <c r="AJ52" s="178"/>
      <c r="AK52" s="118"/>
    </row>
    <row r="53" spans="5:40" ht="15.75" thickTop="1" thickBot="1" x14ac:dyDescent="0.25">
      <c r="E53" s="212">
        <f ca="1">MAX(INDEX(rF1.WallLenght,1,2),IF(AND(rF1.CheckBasePlate=0,rF1.CheckFoundation=0),INDEX(rF1.WallLenght,1,1),0))</f>
        <v>3.2</v>
      </c>
      <c r="F53" s="212">
        <f>MAX(INDEX(rF1.WallLenght,1,2),IF(rF1.CheckWallNotExisting=0,INDEX(rF1.WallLenght,1,3),0))</f>
        <v>2</v>
      </c>
      <c r="K53" s="146" t="s">
        <v>229</v>
      </c>
      <c r="L53" s="146" t="s">
        <v>136</v>
      </c>
      <c r="M53" s="85">
        <v>3.2</v>
      </c>
      <c r="N53" s="86">
        <v>3.2</v>
      </c>
      <c r="O53" s="213">
        <f>INDEX(rF1.SlabInfluenceWidth,1,1)</f>
        <v>3.2</v>
      </c>
      <c r="P53" s="214">
        <f>INDEX(rF1.SlabInfluenceWidth,1,2)</f>
        <v>3.2</v>
      </c>
      <c r="Q53" s="131"/>
      <c r="S53" s="155"/>
      <c r="T53" s="158" t="str">
        <f>rP2.OutputSlab02</f>
        <v>Decke 2</v>
      </c>
      <c r="U53" s="162" t="s">
        <v>93</v>
      </c>
      <c r="V53" s="163">
        <f>INDEX(rF1.PositioningLineLoad,1,2)</f>
        <v>0</v>
      </c>
      <c r="W53" s="163">
        <f>INDEX(rF1.PositioningLineLoad,1,2)</f>
        <v>0</v>
      </c>
      <c r="X53" s="215" t="str">
        <f ca="1">IF(OR(rF1.CheckWoodenSlab02,rF1.CheckBendingMomentSlabTop,INDEX(rF1.DesignTotalLineLoad,1,2)=0,INDEX(rF1.PositioningLineLoad,1,2)=0),"",INDEX(rF1.DesignTotalLineLoad,1,2))</f>
        <v/>
      </c>
      <c r="Y53" s="198" t="s">
        <v>93</v>
      </c>
      <c r="Z53" s="163">
        <f ca="1">rF1.WallThickness02/2+INDEX(rF1.SlabSpanPerpendicular,1,2)</f>
        <v>5.7125000000000004</v>
      </c>
      <c r="AA53" s="164">
        <f ca="1">rF1.WallThickness02/2+INDEX(rF1.SlabSpanPerpendicular,1,2)</f>
        <v>5.7125000000000004</v>
      </c>
      <c r="AB53" s="155"/>
      <c r="AC53" s="117"/>
      <c r="AD53" s="210" t="s">
        <v>93</v>
      </c>
      <c r="AE53" s="163">
        <f ca="1">IF(OR(rF1.FixedVergesNumber=0,rF1.FixedVergesNumber=1),0,-INDEX(rF1.WallLenght,1,2)/2)</f>
        <v>0</v>
      </c>
      <c r="AF53" s="186">
        <f ca="1">IF(OR(rF1.FixedVergesNumber=0,rF1.FixedVergesNumber=1),0,-INDEX(rF1.WallLenght,1,2)/2)</f>
        <v>0</v>
      </c>
      <c r="AJ53" s="178"/>
      <c r="AK53" s="118"/>
    </row>
    <row r="54" spans="5:40" ht="17.25" thickTop="1" thickBot="1" x14ac:dyDescent="0.25">
      <c r="K54" s="146" t="s">
        <v>230</v>
      </c>
      <c r="L54" s="146" t="s">
        <v>5</v>
      </c>
      <c r="M54" s="85">
        <v>0.2</v>
      </c>
      <c r="N54" s="86">
        <v>0.2</v>
      </c>
      <c r="O54" s="86">
        <v>0.25</v>
      </c>
      <c r="P54" s="87">
        <v>0.25</v>
      </c>
      <c r="Q54" s="131"/>
      <c r="S54" s="155"/>
      <c r="T54" s="166"/>
      <c r="U54" s="167" t="s">
        <v>94</v>
      </c>
      <c r="V54" s="168">
        <f ca="1">IF(OR(rF1.CheckWoodenSlab02,rF1.CheckBendingMomentSlabTop,INDEX(rF1.DesignTotalLineLoad,1,2)=0,INDEX(rF1.PositioningLineLoad,1,2)=0),-5,rF1.PlotHeightFirstFloor+IF(rF1.CheckSlabExisting03,MAX(INDEX(rF1.SlabThickness,1,1),INDEX(rF1.SlabThickness,1,3)),INDEX(rF1.SlabThickness,1,1))+rF1.WallHeight02+INDEX(rF1.SlabThickness,1,2)+INDEX(rF1.DesignTotalLineLoad,1,2)*rF1.PlotFactorLineLoad)</f>
        <v>-5</v>
      </c>
      <c r="W54" s="168">
        <f ca="1">IF(OR(rF1.CheckWoodenSlab02,rF1.CheckBendingMomentSlabTop,INDEX(rF1.DesignTotalLineLoad,1,2)=0,INDEX(rF1.PositioningLineLoad,1,2)=0),-5,rF1.PlotHeightFirstFloor+IF(rF1.CheckSlabExisting03,MAX(INDEX(rF1.SlabThickness,1,1),INDEX(rF1.SlabThickness,1,3)),INDEX(rF1.SlabThickness,1,1))+rF1.WallHeight02+INDEX(rF1.SlabThickness,1,2))</f>
        <v>-5</v>
      </c>
      <c r="X54" s="168"/>
      <c r="Y54" s="191" t="s">
        <v>94</v>
      </c>
      <c r="Z54" s="168">
        <f ca="1">IF(INDEX(rF1.SlabBearingType,1,2)=rP1.CheckwordFixed,rF1.PlotHeightFirstFloor+IF(rF1.CheckSlabExisting03,MAX(INDEX(rF1.SlabThickness,1,1),INDEX(rF1.SlabThickness,1,3)),INDEX(rF1.SlabThickness,1,1))+rF1.WallHeight02,-5)</f>
        <v>5.3450000000000006</v>
      </c>
      <c r="AA54" s="169">
        <f ca="1">IF(OR(INDEX(rF1.SlabBearingType,1,2)=rP1.CheckwordHinged,rF1.CheckWoodenSlab02=1),rF1.PlotHeightFirstFloor+IF(rF1.CheckSlabExisting03,MAX(INDEX(rF1.SlabThickness,1,1),INDEX(rF1.SlabThickness,1,3)),INDEX(rF1.SlabThickness,1,1))+rF1.WallHeight02,-5)</f>
        <v>-5</v>
      </c>
      <c r="AB54" s="165"/>
      <c r="AD54" s="211" t="s">
        <v>94</v>
      </c>
      <c r="AE54" s="168">
        <f ca="1">IF(OR(rF1.FixedVergesNumber=0,rF1.FixedVergesNumber=1),0,rF1.PlotHeightFirstFloor+IF(rF1.CheckSlabExisting03,MAX(INDEX(rF1.SlabThickness,1,1),INDEX(rF1.SlabThickness,1,3)),INDEX(rF1.SlabThickness,1,1)))</f>
        <v>0</v>
      </c>
      <c r="AF54" s="190">
        <f ca="1">IF(OR(rF1.FixedVergesNumber=0,rF1.FixedVergesNumber=1),0,rF1.PlotHeightFirstFloor+IF(rF1.CheckSlabExisting03,MAX(INDEX(rF1.SlabThickness,1,1),INDEX(rF1.SlabThickness,1,3)),INDEX(rF1.SlabThickness,1,1))+rF1.WallHeight02)</f>
        <v>0</v>
      </c>
      <c r="AJ54" s="178"/>
      <c r="AK54" s="118"/>
    </row>
    <row r="55" spans="5:40" ht="15.75" thickTop="1" thickBot="1" x14ac:dyDescent="0.25">
      <c r="K55" s="185" t="s">
        <v>231</v>
      </c>
      <c r="L55" s="185"/>
      <c r="M55" s="199"/>
      <c r="N55" s="200"/>
      <c r="O55" s="200"/>
      <c r="P55" s="201"/>
      <c r="Q55" s="129"/>
      <c r="S55" s="155"/>
      <c r="T55" s="158" t="str">
        <f ca="1">IF(rF1.CheckSlabExisting03=0,"",rP2.OutputSlab03)</f>
        <v/>
      </c>
      <c r="U55" s="162" t="s">
        <v>93</v>
      </c>
      <c r="V55" s="163">
        <f>-INDEX(rF1.PositioningLineLoad,1,3)</f>
        <v>0</v>
      </c>
      <c r="W55" s="163">
        <f>-INDEX(rF1.PositioningLineLoad,1,3)</f>
        <v>0</v>
      </c>
      <c r="X55" s="208" t="str">
        <f ca="1">IF(OR(rF1.CheckWoodenSlab03,rF1.CheckBendingMomentSlabBottom,rF1.CheckSlabExisting03=0,INDEX(rF1.DesignTotalLineLoad,1,3)=0,INDEX(rF1.PositioningLineLoad,1,3)=0),"",INDEX(rF1.DesignTotalLineLoad,1,3))</f>
        <v/>
      </c>
      <c r="Y55" s="209" t="s">
        <v>93</v>
      </c>
      <c r="Z55" s="118">
        <f ca="1">IF(rF1.CheckSlabExisting03=0,0,-rF1.WallThickness02/2-INDEX(rF1.SlabSpanPerpendicular,1,3))</f>
        <v>0</v>
      </c>
      <c r="AA55" s="178">
        <f ca="1">IF(rF1.CheckSlabExisting03=0,0,-rF1.WallThickness02/2-INDEX(rF1.SlabSpanPerpendicular,1,3))</f>
        <v>0</v>
      </c>
      <c r="AB55" s="165"/>
      <c r="AJ55" s="178"/>
      <c r="AK55" s="118"/>
    </row>
    <row r="56" spans="5:40" ht="15" thickTop="1" x14ac:dyDescent="0.2">
      <c r="K56" s="216" t="s">
        <v>569</v>
      </c>
      <c r="L56" s="216"/>
      <c r="M56" s="216"/>
      <c r="N56" s="216"/>
      <c r="O56" s="216"/>
      <c r="P56" s="216"/>
      <c r="Q56" s="217"/>
      <c r="S56" s="155"/>
      <c r="T56" s="166"/>
      <c r="U56" s="167" t="s">
        <v>94</v>
      </c>
      <c r="V56" s="168">
        <f ca="1">IF(OR(rF1.CheckWoodenSlab03,rF1.CheckBendingMomentSlabBottom,rF1.CheckSlabExisting03=0,INDEX(rF1.DesignTotalLineLoad,1,3)=0,INDEX(rF1.PositioningLineLoad,1,3)=0),-5,rF1.PlotHeightFirstFloor+INDEX(rF1.SlabThickness,1,3)+INDEX(rF1.DesignTotalLineLoad,1,3)*rF1.PlotFactorLineLoad)</f>
        <v>-5</v>
      </c>
      <c r="W56" s="168">
        <f ca="1">IF(OR(rF1.CheckWoodenSlab03,rF1.CheckBendingMomentSlabBottom,rF1.CheckSlabExisting03=0,INDEX(rF1.DesignTotalLineLoad,1,3)=0,INDEX(rF1.PositioningLineLoad,1,3)=0),-5,rF1.PlotHeightFirstFloor+INDEX(rF1.SlabThickness,1,3))</f>
        <v>-5</v>
      </c>
      <c r="X56" s="190"/>
      <c r="Y56" s="191" t="s">
        <v>94</v>
      </c>
      <c r="Z56" s="168">
        <f ca="1">IF(AND(rF1.CheckBasePlate=0,rF1.CheckSlabExisting03,INDEX(rF1.SlabBearingType,1,3)=rP1.CheckwordFixed),rF1.PlotHeightFirstFloor,-5)</f>
        <v>-5</v>
      </c>
      <c r="AA56" s="169">
        <f ca="1">IF(AND(rF1.CheckBasePlate=0,rF1.CheckSlabExisting03,OR(INDEX(rF1.SlabBearingType,1,3)=rP1.CheckwordHinged,rF1.CheckWoodenSlab03=1)),rF1.PlotHeightFirstFloor,-5)</f>
        <v>-5</v>
      </c>
      <c r="AB56" s="165"/>
      <c r="AJ56" s="178"/>
      <c r="AK56" s="118"/>
    </row>
    <row r="57" spans="5:40" x14ac:dyDescent="0.2">
      <c r="K57" s="142" t="s">
        <v>232</v>
      </c>
      <c r="L57" s="142"/>
      <c r="M57" s="143" t="s">
        <v>255</v>
      </c>
      <c r="N57" s="143" t="s">
        <v>256</v>
      </c>
      <c r="O57" s="143" t="s">
        <v>257</v>
      </c>
      <c r="P57" s="143" t="s">
        <v>258</v>
      </c>
      <c r="Q57" s="192"/>
      <c r="S57" s="155"/>
      <c r="T57" s="158" t="str">
        <f ca="1">IF(rF1.CheckSlabExisting04=0,"",rP2.OutputSlab04)</f>
        <v/>
      </c>
      <c r="U57" s="162" t="s">
        <v>93</v>
      </c>
      <c r="V57" s="163">
        <f>-INDEX(rF1.PositioningLineLoad,1,4)</f>
        <v>0</v>
      </c>
      <c r="W57" s="163">
        <f>-INDEX(rF1.PositioningLineLoad,1,4)</f>
        <v>0</v>
      </c>
      <c r="X57" s="208" t="str">
        <f ca="1">IF(OR(rF1.CheckWoodenSlab04,rF1.CheckBendingMomentSlabTop,rF1.CheckSlabExisting04=0,INDEX(rF1.DesignTotalLineLoad,1,4)=0,INDEX(rF1.PositioningLineLoad,1,4)=0),"",INDEX(rF1.DesignTotalLineLoad,1,4))</f>
        <v/>
      </c>
      <c r="Y57" s="198" t="s">
        <v>93</v>
      </c>
      <c r="Z57" s="163">
        <f ca="1">IF(rF1.CheckSlabExisting04=0,0,-rF1.WallThickness02/2-INDEX(rF1.SlabSpanPerpendicular,1,4))</f>
        <v>0</v>
      </c>
      <c r="AA57" s="164">
        <f ca="1">IF(rF1.CheckSlabExisting04=0,0,-rF1.WallThickness02/2-INDEX(rF1.SlabSpanPerpendicular,1,4))</f>
        <v>0</v>
      </c>
      <c r="AB57" s="165"/>
      <c r="AJ57" s="178"/>
      <c r="AK57" s="118"/>
    </row>
    <row r="58" spans="5:40" ht="16.5" thickBot="1" x14ac:dyDescent="0.25">
      <c r="K58" s="218" t="s">
        <v>233</v>
      </c>
      <c r="L58" s="146" t="s">
        <v>6</v>
      </c>
      <c r="M58" s="373">
        <v>9.25</v>
      </c>
      <c r="N58" s="374">
        <v>9.25</v>
      </c>
      <c r="O58" s="374">
        <v>8</v>
      </c>
      <c r="P58" s="375">
        <v>5</v>
      </c>
      <c r="Q58" s="131"/>
      <c r="S58" s="219"/>
      <c r="T58" s="220"/>
      <c r="U58" s="221" t="s">
        <v>94</v>
      </c>
      <c r="V58" s="222">
        <f ca="1">IF(OR(rF1.CheckWoodenSlab04,rF1.CheckBendingMomentSlabTop,rF1.CheckSlabExisting04=0,INDEX(rF1.DesignTotalLineLoad,1,4)=0,INDEX(rF1.PositioningLineLoad,1,4)=0),-5,rF1.PlotHeightFirstFloor+IF(rF1.CheckSlabExisting03,MAX(INDEX(rF1.SlabThickness,1,1),INDEX(rF1.SlabThickness,1,3)),INDEX(rF1.SlabThickness,1,1))+rF1.WallHeight02+INDEX(rF1.SlabThickness,1,4)+INDEX(rF1.DesignTotalLineLoad,1,4)*rF1.PlotFactorLineLoad)</f>
        <v>-5</v>
      </c>
      <c r="W58" s="222">
        <f ca="1">IF(OR(rF1.CheckWoodenSlab04,rF1.CheckBendingMomentSlabTop,rF1.CheckSlabExisting04=0,INDEX(rF1.DesignTotalLineLoad,1,4)=0,INDEX(rF1.PositioningLineLoad,1,4)=0),-5,rF1.PlotHeightFirstFloor+IF(rF1.CheckSlabExisting03,MAX(INDEX(rF1.SlabThickness,1,1),INDEX(rF1.SlabThickness,1,3)),INDEX(rF1.SlabThickness,1,1))+rF1.WallHeight02+INDEX(rF1.SlabThickness,1,4))</f>
        <v>-5</v>
      </c>
      <c r="X58" s="223"/>
      <c r="Y58" s="224" t="s">
        <v>94</v>
      </c>
      <c r="Z58" s="222">
        <f ca="1">IF(AND(rF1.CheckSlabExisting04,INDEX(rF1.SlabBearingType,1,4)=rP1.CheckwordFixed),rF1.PlotHeightFirstFloor+IF(rF1.CheckSlabExisting03,MAX(INDEX(rF1.SlabThickness,1,1),INDEX(rF1.SlabThickness,1,3)),INDEX(rF1.SlabThickness,1,1))+rF1.WallHeight02,-5)</f>
        <v>-5</v>
      </c>
      <c r="AA58" s="225">
        <f ca="1">IF(AND(rF1.CheckSlabExisting04,OR(INDEX(rF1.SlabBearingType,1,4)=rP1.CheckwordHinged,rF1.CheckWoodenSlab04=1)),rF1.PlotHeightFirstFloor+IF(rF1.CheckSlabExisting03,MAX(INDEX(rF1.SlabThickness,1,1),INDEX(rF1.SlabThickness,1,3)),INDEX(rF1.SlabThickness,1,1))+rF1.WallHeight02,-5)</f>
        <v>-5</v>
      </c>
      <c r="AB58" s="226"/>
      <c r="AC58" s="222"/>
      <c r="AD58" s="222"/>
      <c r="AE58" s="222"/>
      <c r="AF58" s="222"/>
      <c r="AG58" s="222"/>
      <c r="AH58" s="222"/>
      <c r="AI58" s="222"/>
      <c r="AJ58" s="225"/>
      <c r="AK58" s="118"/>
    </row>
    <row r="59" spans="5:40" ht="17.25" thickTop="1" thickBot="1" x14ac:dyDescent="0.25">
      <c r="K59" s="227" t="s">
        <v>234</v>
      </c>
      <c r="L59" s="185" t="s">
        <v>7</v>
      </c>
      <c r="M59" s="376">
        <v>2.0299999999999998</v>
      </c>
      <c r="N59" s="377">
        <v>4.05</v>
      </c>
      <c r="O59" s="377">
        <v>0</v>
      </c>
      <c r="P59" s="378">
        <v>3</v>
      </c>
      <c r="Q59" s="129"/>
      <c r="AJ59" s="118"/>
    </row>
    <row r="60" spans="5:40" ht="16.5" thickTop="1" x14ac:dyDescent="0.2">
      <c r="K60" s="218" t="s">
        <v>235</v>
      </c>
      <c r="L60" s="146"/>
      <c r="M60" s="228">
        <f>rF1.DeadLoadDesign+rF1.LiveLoadDesign</f>
        <v>11.28</v>
      </c>
      <c r="N60" s="228">
        <f>rF1.DeadLoadDesign+rF1.LiveLoadDesign</f>
        <v>13.3</v>
      </c>
      <c r="O60" s="228">
        <f>rF1.DeadLoadDesign+rF1.LiveLoadDesign</f>
        <v>8</v>
      </c>
      <c r="P60" s="228">
        <f>rF1.DeadLoadDesign+rF1.LiveLoadDesign</f>
        <v>8</v>
      </c>
      <c r="Q60" s="131"/>
      <c r="S60" s="149" t="s">
        <v>118</v>
      </c>
      <c r="T60" s="229"/>
      <c r="U60" s="229"/>
      <c r="V60" s="229"/>
      <c r="W60" s="229"/>
      <c r="X60" s="229"/>
      <c r="Y60" s="229"/>
      <c r="Z60" s="151"/>
      <c r="AA60" s="151"/>
      <c r="AB60" s="151"/>
      <c r="AC60" s="230" t="s">
        <v>137</v>
      </c>
      <c r="AD60" s="231" t="s">
        <v>95</v>
      </c>
      <c r="AE60" s="232" t="s">
        <v>94</v>
      </c>
      <c r="AF60" s="151"/>
      <c r="AG60" s="151"/>
      <c r="AH60" s="151"/>
      <c r="AI60" s="151"/>
      <c r="AJ60" s="152"/>
      <c r="AK60" s="118"/>
    </row>
    <row r="61" spans="5:40" ht="15" thickBot="1" x14ac:dyDescent="0.25">
      <c r="K61" s="142" t="s">
        <v>236</v>
      </c>
      <c r="L61" s="142"/>
      <c r="M61" s="143" t="s">
        <v>255</v>
      </c>
      <c r="N61" s="143" t="s">
        <v>256</v>
      </c>
      <c r="O61" s="143" t="s">
        <v>257</v>
      </c>
      <c r="P61" s="143" t="s">
        <v>258</v>
      </c>
      <c r="Q61" s="192"/>
      <c r="S61" s="155"/>
      <c r="AC61" s="233"/>
      <c r="AD61" s="198">
        <v>0</v>
      </c>
      <c r="AE61" s="186">
        <v>0</v>
      </c>
      <c r="AJ61" s="178"/>
    </row>
    <row r="62" spans="5:40" ht="15.75" thickTop="1" thickBot="1" x14ac:dyDescent="0.25">
      <c r="K62" s="234" t="s">
        <v>237</v>
      </c>
      <c r="L62" s="235"/>
      <c r="M62" s="379">
        <v>0</v>
      </c>
      <c r="N62" s="379">
        <v>0</v>
      </c>
      <c r="O62" s="379">
        <v>0</v>
      </c>
      <c r="P62" s="379">
        <v>0</v>
      </c>
      <c r="Q62" s="236"/>
      <c r="S62" s="155"/>
      <c r="AC62" s="233"/>
      <c r="AD62" s="209">
        <f ca="1">IF(rF1.CheckWoodenSlabCalc,0,rF1.MomentWindBottom)</f>
        <v>-0.67161840000000006</v>
      </c>
      <c r="AE62" s="204">
        <v>0</v>
      </c>
      <c r="AJ62" s="178"/>
    </row>
    <row r="63" spans="5:40" ht="15.75" thickTop="1" thickBot="1" x14ac:dyDescent="0.25">
      <c r="K63" s="227" t="s">
        <v>238</v>
      </c>
      <c r="L63" s="185"/>
      <c r="M63" s="379">
        <v>0</v>
      </c>
      <c r="N63" s="379">
        <v>0</v>
      </c>
      <c r="O63" s="379">
        <v>0</v>
      </c>
      <c r="P63" s="379">
        <v>0</v>
      </c>
      <c r="Q63" s="129"/>
      <c r="S63" s="155"/>
      <c r="T63" s="156" t="s">
        <v>196</v>
      </c>
      <c r="U63" s="157"/>
      <c r="V63" s="237">
        <v>0</v>
      </c>
      <c r="W63" s="237">
        <v>1</v>
      </c>
      <c r="X63" s="237">
        <v>2</v>
      </c>
      <c r="Y63" s="157">
        <v>3</v>
      </c>
      <c r="AC63" s="238">
        <v>1</v>
      </c>
      <c r="AD63" s="209">
        <f t="shared" ref="AD63:AD82" ca="1" si="0">IF(rF1.CheckWoodenSlabCalc,0,rF1.MomentWindBottom+(rF1.MomentWindTop-rF1.MomentWindBottom)/MAX(rF1.PlotMomentDotsWind)*rF1.PlotMomentDotsWind+ABS(rF1.WindLoadDesign)/2*(rF1.WallHeight02*rF1.PlotHeightDotsWind-rF1.PlotHeightDotsWind^2)*MAX(rF1.SlabInfluenceWidth)/rF1.WallLenght02)</f>
        <v>-0.41640340800000009</v>
      </c>
      <c r="AE63" s="204">
        <f t="shared" ref="AE63:AE82" si="1">rF1.WallHeight02*(rF1.PlotMomentDotsWind)/MAX(rF1.PlotMomentDotsWind)</f>
        <v>0.13225000000000001</v>
      </c>
      <c r="AJ63" s="178"/>
    </row>
    <row r="64" spans="5:40" ht="15.75" thickTop="1" thickBot="1" x14ac:dyDescent="0.25">
      <c r="K64" s="227" t="s">
        <v>239</v>
      </c>
      <c r="L64" s="185"/>
      <c r="M64" s="239">
        <f>rF1.DesignLineDeadLoad+rF1.DesignLineLiveLoad</f>
        <v>0</v>
      </c>
      <c r="N64" s="239">
        <f>rF1.DesignLineDeadLoad+rF1.DesignLineLiveLoad</f>
        <v>0</v>
      </c>
      <c r="O64" s="239">
        <f>rF1.DesignLineDeadLoad+rF1.DesignLineLiveLoad</f>
        <v>0</v>
      </c>
      <c r="P64" s="239">
        <f>rF1.DesignLineDeadLoad+rF1.DesignLineLiveLoad</f>
        <v>0</v>
      </c>
      <c r="Q64" s="129"/>
      <c r="S64" s="155"/>
      <c r="T64" s="240"/>
      <c r="U64" s="241" t="s">
        <v>95</v>
      </c>
      <c r="V64" s="242">
        <v>0</v>
      </c>
      <c r="W64" s="242">
        <f ca="1">IF(rF1.CheckWoodenSlabCalc,0,rF1.BendingMomentDecBottom)</f>
        <v>1.5169584165147469</v>
      </c>
      <c r="X64" s="242">
        <f ca="1">IF(rF1.CheckWoodenSlabCalc,0,rF1.BendingMomentDecTop)</f>
        <v>-4.1233913263623378</v>
      </c>
      <c r="Y64" s="243">
        <v>0</v>
      </c>
      <c r="AC64" s="238">
        <v>2</v>
      </c>
      <c r="AD64" s="209">
        <f t="shared" ca="1" si="0"/>
        <v>-0.188053152</v>
      </c>
      <c r="AE64" s="204">
        <f t="shared" si="1"/>
        <v>0.26450000000000001</v>
      </c>
      <c r="AJ64" s="178"/>
    </row>
    <row r="65" spans="5:36" ht="15.75" thickTop="1" thickBot="1" x14ac:dyDescent="0.25">
      <c r="E65" s="145">
        <f ca="1">INDEX(rF1.SlabSpanPerpendicular,1,1)+MAX(INDEX(rF1.WallThickness,1,1),rF1.WallThickness02)/2</f>
        <v>5.7125000000000004</v>
      </c>
      <c r="F65" s="145">
        <f ca="1">INDEX(rF1.SlabSpanPerpendicular,1,2)+MAX(INDEX(rF1.WallThickness,1,3),rF1.WallThickness02)/2</f>
        <v>5.7125000000000004</v>
      </c>
      <c r="G65" s="145">
        <f ca="1">INDEX(rF1.SlabSpanPerpendicular,1,3)+MAX(INDEX(rF1.WallThickness,1,1),rF1.WallThickness02)/2</f>
        <v>5.2125000000000004</v>
      </c>
      <c r="H65" s="145">
        <f ca="1">INDEX(rF1.SlabSpanPerpendicular,1,4)+MAX(INDEX(rF1.WallThickness,1,3),rF1.WallThickness02)/2</f>
        <v>2.7124999999999999</v>
      </c>
      <c r="K65" s="244" t="s">
        <v>240</v>
      </c>
      <c r="L65" s="187"/>
      <c r="M65" s="86">
        <v>0</v>
      </c>
      <c r="N65" s="86">
        <v>0</v>
      </c>
      <c r="O65" s="86">
        <v>0</v>
      </c>
      <c r="P65" s="86">
        <v>0</v>
      </c>
      <c r="Q65" s="153"/>
      <c r="S65" s="155"/>
      <c r="T65" s="166"/>
      <c r="U65" s="167" t="s">
        <v>94</v>
      </c>
      <c r="V65" s="245">
        <v>0</v>
      </c>
      <c r="W65" s="245">
        <v>0</v>
      </c>
      <c r="X65" s="245">
        <f>rF1.WallHeight02</f>
        <v>2.645</v>
      </c>
      <c r="Y65" s="246">
        <f>rF1.WallHeight02</f>
        <v>2.645</v>
      </c>
      <c r="AC65" s="238">
        <v>3</v>
      </c>
      <c r="AD65" s="209">
        <f t="shared" ca="1" si="0"/>
        <v>1.3432368000000028E-2</v>
      </c>
      <c r="AE65" s="204">
        <f t="shared" si="1"/>
        <v>0.39675000000000005</v>
      </c>
      <c r="AJ65" s="178"/>
    </row>
    <row r="66" spans="5:36" ht="15.75" thickTop="1" thickBot="1" x14ac:dyDescent="0.25">
      <c r="K66" s="142" t="s">
        <v>241</v>
      </c>
      <c r="L66" s="142"/>
      <c r="M66" s="143" t="s">
        <v>259</v>
      </c>
      <c r="N66" s="143" t="s">
        <v>260</v>
      </c>
      <c r="O66" s="143" t="s">
        <v>261</v>
      </c>
      <c r="P66" s="143" t="s">
        <v>473</v>
      </c>
      <c r="Q66" s="247"/>
      <c r="S66" s="155"/>
      <c r="AC66" s="238">
        <v>4</v>
      </c>
      <c r="AD66" s="209">
        <f t="shared" ca="1" si="0"/>
        <v>0.18805315199999995</v>
      </c>
      <c r="AE66" s="204">
        <f t="shared" si="1"/>
        <v>0.52900000000000003</v>
      </c>
      <c r="AJ66" s="178"/>
    </row>
    <row r="67" spans="5:36" ht="17.25" thickTop="1" thickBot="1" x14ac:dyDescent="0.25">
      <c r="K67" s="235" t="s">
        <v>242</v>
      </c>
      <c r="L67" s="235" t="s">
        <v>62</v>
      </c>
      <c r="M67" s="396">
        <v>727.8</v>
      </c>
      <c r="N67" s="397">
        <v>227.94</v>
      </c>
      <c r="O67" s="398">
        <f>rF1.WallAxForceDeadTop+rF1.WallAxForceLiveTop</f>
        <v>955.74</v>
      </c>
      <c r="P67" s="252">
        <f>(rF1.WallAxForceDeadTop+rF1.WallAxForceLiveTop)/rF1.WallLenght02</f>
        <v>477.87</v>
      </c>
      <c r="Q67" s="236"/>
      <c r="S67" s="249"/>
      <c r="T67" s="158" t="s">
        <v>119</v>
      </c>
      <c r="U67" s="162" t="s">
        <v>93</v>
      </c>
      <c r="V67" s="250">
        <f ca="1">IF(AND(rF1.BendingMomentDecBottom=0,rF1.BendingMomentDecTop=0),1,MAX(ABS(rF1.BendingMomentDecBottom),ABS(rF1.BendingMomentDecTop),0.5)*rF1.PlotOutlineFactor02)</f>
        <v>4.7419000253166885</v>
      </c>
      <c r="W67" s="251">
        <f ca="1">-IF(AND(rF1.BendingMomentDecBottom=0,rF1.BendingMomentDecTop=0),1,MAX(ABS(rF1.BendingMomentDecBottom),ABS(rF1.BendingMomentDecTop),0.5)*rF1.PlotOutlineFactor02)</f>
        <v>-4.7419000253166885</v>
      </c>
      <c r="AC67" s="238">
        <v>5</v>
      </c>
      <c r="AD67" s="209">
        <f t="shared" ca="1" si="0"/>
        <v>0.33580920000000014</v>
      </c>
      <c r="AE67" s="204">
        <f t="shared" si="1"/>
        <v>0.66125</v>
      </c>
      <c r="AJ67" s="178"/>
    </row>
    <row r="68" spans="5:36" ht="17.25" thickTop="1" thickBot="1" x14ac:dyDescent="0.25">
      <c r="K68" s="146" t="s">
        <v>243</v>
      </c>
      <c r="L68" s="146" t="s">
        <v>33</v>
      </c>
      <c r="M68" s="392">
        <v>700</v>
      </c>
      <c r="N68" s="393">
        <v>250</v>
      </c>
      <c r="O68" s="254">
        <f ca="1">IF(rF1.CheckAxForceCalculation,(rF1.WallAxForceDeadTop+rF1.WallAxForceLiveTop+rF1.WallAxForceDeadCalcBottom)/2,rF1.WallAxForceDeadMiddleInput+rF1.WallAxForceLiveMiddleInput)</f>
        <v>970.89006736875001</v>
      </c>
      <c r="P68" s="252">
        <f ca="1">rF1.WallAxForceDeadCalcMiddle/rF1.WallLenght02</f>
        <v>485.44503368437501</v>
      </c>
      <c r="Q68" s="131"/>
      <c r="S68" s="202" t="s">
        <v>123</v>
      </c>
      <c r="T68" s="189">
        <v>1.1499999999999999</v>
      </c>
      <c r="U68" s="167" t="s">
        <v>94</v>
      </c>
      <c r="V68" s="253">
        <f>rF1.WallHeight02</f>
        <v>2.645</v>
      </c>
      <c r="W68" s="246">
        <f>rF1.WallHeight02</f>
        <v>2.645</v>
      </c>
      <c r="AC68" s="238">
        <v>6</v>
      </c>
      <c r="AD68" s="209">
        <f t="shared" ca="1" si="0"/>
        <v>0.45670051199999984</v>
      </c>
      <c r="AE68" s="204">
        <f t="shared" si="1"/>
        <v>0.79350000000000009</v>
      </c>
      <c r="AJ68" s="178"/>
    </row>
    <row r="69" spans="5:36" ht="15" customHeight="1" thickTop="1" thickBot="1" x14ac:dyDescent="0.25">
      <c r="K69" s="185" t="s">
        <v>244</v>
      </c>
      <c r="L69" s="185" t="s">
        <v>34</v>
      </c>
      <c r="M69" s="394">
        <v>700</v>
      </c>
      <c r="N69" s="393">
        <v>250</v>
      </c>
      <c r="O69" s="255">
        <f ca="1">IF(rF1.CheckAxForceCalculation,rF1.WallAxForceDeadTop+rF1.WallAxForceLiveTop+rF1.WallHeight02*rF1.WallWeight02*rF1.WallLenght02*rP1.Gravitation*rF1.SafetyFactorDeadLoad/1000,rF1.WallAxForceDeadBottomInput+rF1.WallAxForceLiveBottomInput)</f>
        <v>986.04013473750001</v>
      </c>
      <c r="P69" s="256">
        <f ca="1">rF1.WallAxForceDeadCalcBottom/rF1.WallLenght02</f>
        <v>493.02006736875001</v>
      </c>
      <c r="Q69" s="129"/>
      <c r="S69" s="155"/>
      <c r="AC69" s="238">
        <v>7</v>
      </c>
      <c r="AD69" s="209">
        <f t="shared" ca="1" si="0"/>
        <v>0.55072708799999992</v>
      </c>
      <c r="AE69" s="204">
        <f t="shared" si="1"/>
        <v>0.92575000000000007</v>
      </c>
      <c r="AJ69" s="178"/>
    </row>
    <row r="70" spans="5:36" ht="15" customHeight="1" thickTop="1" x14ac:dyDescent="0.2">
      <c r="G70" s="64" t="b">
        <v>1</v>
      </c>
      <c r="H70" s="212">
        <f ca="1">OFFSET(rD4.SafetyFactorDeadLoadList,rF1.SafetyFactorDeadLoadSelection-1,0,1,1)</f>
        <v>1.35</v>
      </c>
      <c r="K70" s="146"/>
      <c r="L70" s="146"/>
      <c r="M70" s="257"/>
      <c r="N70" s="257"/>
      <c r="O70" s="258" t="str">
        <f>rP2.OutputSafetyFacotrWall</f>
        <v>Teilsicherheitsbeiwert für Eigengewicht Wand =</v>
      </c>
      <c r="P70" s="258"/>
      <c r="Q70" s="131"/>
      <c r="S70" s="155"/>
      <c r="T70" s="158" t="s">
        <v>117</v>
      </c>
      <c r="U70" s="162" t="s">
        <v>93</v>
      </c>
      <c r="V70" s="250">
        <v>0</v>
      </c>
      <c r="W70" s="251">
        <v>0</v>
      </c>
      <c r="AC70" s="238">
        <v>8</v>
      </c>
      <c r="AD70" s="209">
        <f t="shared" ca="1" si="0"/>
        <v>0.61788892799999995</v>
      </c>
      <c r="AE70" s="204">
        <f t="shared" si="1"/>
        <v>1.0580000000000001</v>
      </c>
      <c r="AJ70" s="178"/>
    </row>
    <row r="71" spans="5:36" ht="15" customHeight="1" thickBot="1" x14ac:dyDescent="0.25">
      <c r="K71" s="142" t="s">
        <v>570</v>
      </c>
      <c r="L71" s="142"/>
      <c r="M71" s="143"/>
      <c r="N71" s="143"/>
      <c r="O71" s="143"/>
      <c r="P71" s="143"/>
      <c r="Q71" s="192"/>
      <c r="S71" s="155"/>
      <c r="T71" s="191"/>
      <c r="U71" s="167" t="s">
        <v>94</v>
      </c>
      <c r="V71" s="253">
        <v>0</v>
      </c>
      <c r="W71" s="246">
        <f>rF1.WallHeight02</f>
        <v>2.645</v>
      </c>
      <c r="AC71" s="238">
        <v>9</v>
      </c>
      <c r="AD71" s="209">
        <f t="shared" ca="1" si="0"/>
        <v>0.65818603199999992</v>
      </c>
      <c r="AE71" s="204">
        <f t="shared" si="1"/>
        <v>1.19025</v>
      </c>
      <c r="AJ71" s="178"/>
    </row>
    <row r="72" spans="5:36" ht="17.25" thickTop="1" thickBot="1" x14ac:dyDescent="0.25">
      <c r="K72" s="187" t="s">
        <v>245</v>
      </c>
      <c r="L72" s="187" t="s">
        <v>35</v>
      </c>
      <c r="M72" s="104">
        <v>0.96</v>
      </c>
      <c r="N72" s="260" t="s">
        <v>574</v>
      </c>
      <c r="O72" s="153"/>
      <c r="P72" s="261" t="s">
        <v>483</v>
      </c>
      <c r="Q72" s="153"/>
      <c r="S72" s="155"/>
      <c r="AC72" s="238">
        <v>10</v>
      </c>
      <c r="AD72" s="209">
        <f t="shared" ca="1" si="0"/>
        <v>0.67161840000000006</v>
      </c>
      <c r="AE72" s="204">
        <f t="shared" si="1"/>
        <v>1.3225</v>
      </c>
      <c r="AJ72" s="178"/>
    </row>
    <row r="73" spans="5:36" ht="15" customHeight="1" thickTop="1" x14ac:dyDescent="0.2">
      <c r="K73" s="137" t="s">
        <v>469</v>
      </c>
      <c r="L73" s="138"/>
      <c r="M73" s="138"/>
      <c r="N73" s="138"/>
      <c r="O73" s="138"/>
      <c r="P73" s="138"/>
      <c r="Q73" s="138"/>
      <c r="S73" s="155"/>
      <c r="AC73" s="238">
        <v>11</v>
      </c>
      <c r="AD73" s="209">
        <f t="shared" ca="1" si="0"/>
        <v>0.65818603199999992</v>
      </c>
      <c r="AE73" s="204">
        <f t="shared" si="1"/>
        <v>1.45475</v>
      </c>
      <c r="AJ73" s="259"/>
    </row>
    <row r="74" spans="5:36" ht="15" customHeight="1" x14ac:dyDescent="0.2">
      <c r="K74" s="140" t="s">
        <v>246</v>
      </c>
      <c r="L74" s="140"/>
      <c r="M74" s="262" t="s">
        <v>262</v>
      </c>
      <c r="N74" s="262" t="s">
        <v>263</v>
      </c>
      <c r="O74" s="262" t="s">
        <v>264</v>
      </c>
      <c r="P74" s="140"/>
      <c r="Q74" s="141"/>
      <c r="S74" s="155"/>
      <c r="AC74" s="238">
        <v>12</v>
      </c>
      <c r="AD74" s="209">
        <f t="shared" ca="1" si="0"/>
        <v>0.61788892799999995</v>
      </c>
      <c r="AE74" s="204">
        <f t="shared" si="1"/>
        <v>1.5870000000000002</v>
      </c>
      <c r="AJ74" s="259"/>
    </row>
    <row r="75" spans="5:36" ht="15" customHeight="1" x14ac:dyDescent="0.2">
      <c r="G75" s="145">
        <f ca="1">IF(OR(AND(rF1.CheckWoodenSlab01,rF1.CheckBendingMomentSlabBottom=FALSE),AND(rF1.CheckWoodenSlab02,rF1.CheckBendingMomentSlabTop=FALSE)),1,0)</f>
        <v>0</v>
      </c>
      <c r="K75" s="142" t="s">
        <v>247</v>
      </c>
      <c r="L75" s="142"/>
      <c r="M75" s="263" t="str">
        <f ca="1">IF(rF1.CheckWoodenSlabCalc,rP2.OutputEccentricityWoodenSlab,"")</f>
        <v/>
      </c>
      <c r="N75" s="143"/>
      <c r="O75" s="143"/>
      <c r="P75" s="143"/>
      <c r="Q75" s="192"/>
      <c r="S75" s="155"/>
      <c r="AC75" s="238">
        <v>13</v>
      </c>
      <c r="AD75" s="209">
        <f t="shared" ca="1" si="0"/>
        <v>0.55072708799999948</v>
      </c>
      <c r="AE75" s="204">
        <f t="shared" si="1"/>
        <v>1.7192499999999999</v>
      </c>
      <c r="AJ75" s="259"/>
    </row>
    <row r="76" spans="5:36" ht="15.75" x14ac:dyDescent="0.2">
      <c r="K76" s="146" t="s">
        <v>248</v>
      </c>
      <c r="L76" s="146" t="s">
        <v>107</v>
      </c>
      <c r="M76" s="264">
        <f>rF1.WallAxForceTop</f>
        <v>477.87</v>
      </c>
      <c r="N76" s="264">
        <f ca="1">rF1.WallAxForceMiddle</f>
        <v>485.44503368437501</v>
      </c>
      <c r="O76" s="264">
        <f ca="1">rF1.WallAxForceBottom</f>
        <v>493.02006736875001</v>
      </c>
      <c r="P76" s="265"/>
      <c r="Q76" s="265"/>
      <c r="S76" s="155"/>
      <c r="AC76" s="238">
        <v>14</v>
      </c>
      <c r="AD76" s="209">
        <f t="shared" ca="1" si="0"/>
        <v>0.45670051199999984</v>
      </c>
      <c r="AE76" s="204">
        <f t="shared" si="1"/>
        <v>1.8515000000000001</v>
      </c>
      <c r="AJ76" s="259"/>
    </row>
    <row r="77" spans="5:36" ht="15.75" x14ac:dyDescent="0.2">
      <c r="K77" s="266" t="s">
        <v>595</v>
      </c>
      <c r="L77" s="266" t="s">
        <v>596</v>
      </c>
      <c r="M77" s="267">
        <f ca="1">rF1.EccentricityTotalTop*rF1.WallAxForceTop</f>
        <v>5.8539075</v>
      </c>
      <c r="N77" s="267">
        <f ca="1">rF1.EccentricityTotalMiddle*rF1.WallAxForceMiddle</f>
        <v>48.518225917840141</v>
      </c>
      <c r="O77" s="267">
        <f ca="1">rF1.EccentricityTotalBottom*rF1.WallAxForceBottom</f>
        <v>6.0394958252671875</v>
      </c>
      <c r="P77" s="268"/>
      <c r="Q77" s="268"/>
      <c r="S77" s="155"/>
      <c r="AC77" s="238">
        <v>15</v>
      </c>
      <c r="AD77" s="209">
        <f t="shared" ca="1" si="0"/>
        <v>0.33580920000000014</v>
      </c>
      <c r="AE77" s="204">
        <f t="shared" si="1"/>
        <v>1.9837499999999999</v>
      </c>
      <c r="AJ77" s="259"/>
    </row>
    <row r="78" spans="5:36" x14ac:dyDescent="0.2">
      <c r="K78" s="142" t="s">
        <v>249</v>
      </c>
      <c r="L78" s="142"/>
      <c r="M78" s="263" t="str">
        <f ca="1">IF(rF1.CheckWoodenSlabCalc,rP2.OutputEccentricityWoodenSlab,"")</f>
        <v/>
      </c>
      <c r="N78" s="143"/>
      <c r="O78" s="143"/>
      <c r="P78" s="143"/>
      <c r="Q78" s="192"/>
      <c r="R78" s="117"/>
      <c r="S78" s="155"/>
      <c r="AC78" s="238">
        <v>16</v>
      </c>
      <c r="AD78" s="209">
        <f t="shared" ca="1" si="0"/>
        <v>0.18805315199999995</v>
      </c>
      <c r="AE78" s="204">
        <f t="shared" si="1"/>
        <v>2.1160000000000001</v>
      </c>
      <c r="AJ78" s="259"/>
    </row>
    <row r="79" spans="5:36" ht="15.75" x14ac:dyDescent="0.2">
      <c r="K79" s="146" t="s">
        <v>554</v>
      </c>
      <c r="L79" s="146" t="s">
        <v>108</v>
      </c>
      <c r="M79" s="271">
        <f ca="1">rF1.EccentricityTotalTop</f>
        <v>1.225E-2</v>
      </c>
      <c r="N79" s="271">
        <f ca="1">rF1.EccentricityTotalMiddle</f>
        <v>9.994586935950725E-2</v>
      </c>
      <c r="O79" s="271">
        <f ca="1">rF1.EccentricityTotalBottom</f>
        <v>1.225E-2</v>
      </c>
      <c r="P79" s="265"/>
      <c r="Q79" s="265"/>
      <c r="R79" s="117"/>
      <c r="S79" s="155"/>
      <c r="AC79" s="238">
        <v>17</v>
      </c>
      <c r="AD79" s="209">
        <f t="shared" ca="1" si="0"/>
        <v>1.3432368000000472E-2</v>
      </c>
      <c r="AE79" s="204">
        <f t="shared" si="1"/>
        <v>2.2482500000000001</v>
      </c>
      <c r="AJ79" s="259"/>
    </row>
    <row r="80" spans="5:36" ht="15" customHeight="1" x14ac:dyDescent="0.2">
      <c r="K80" s="266" t="s">
        <v>250</v>
      </c>
      <c r="L80" s="272" t="s">
        <v>109</v>
      </c>
      <c r="M80" s="273">
        <f ca="1">rF1.ReductionEccentricityTop</f>
        <v>0.9</v>
      </c>
      <c r="N80" s="273">
        <f ca="1">rF1.ReductionEccentricityMiddle</f>
        <v>0.45445510084781993</v>
      </c>
      <c r="O80" s="273">
        <f ca="1">rF1.ReductionEccentricityBottom</f>
        <v>0.9</v>
      </c>
      <c r="P80" s="268"/>
      <c r="Q80" s="268"/>
      <c r="S80" s="155"/>
      <c r="W80" s="269"/>
      <c r="X80" s="158" t="s">
        <v>119</v>
      </c>
      <c r="Y80" s="162" t="s">
        <v>93</v>
      </c>
      <c r="Z80" s="250">
        <f ca="1">MAX(ABS(rF1.MomentWindTop),ABS(rF1.MomentWindMiddle),0.5)*rF1.PlotOutlineFactor03</f>
        <v>0.77236115999999999</v>
      </c>
      <c r="AA80" s="251">
        <f ca="1">-MAX(ABS(rF1.MomentWindTop),ABS(rF1.MomentWindMiddle),0.5)*rF1.PlotOutlineFactor03</f>
        <v>-0.77236115999999999</v>
      </c>
      <c r="AC80" s="238">
        <v>18</v>
      </c>
      <c r="AD80" s="209">
        <f t="shared" ca="1" si="0"/>
        <v>-0.18805315200000017</v>
      </c>
      <c r="AE80" s="204">
        <f t="shared" si="1"/>
        <v>2.3805000000000001</v>
      </c>
      <c r="AJ80" s="259"/>
    </row>
    <row r="81" spans="11:36" ht="15" customHeight="1" x14ac:dyDescent="0.2">
      <c r="K81" s="276" t="s">
        <v>251</v>
      </c>
      <c r="L81" s="276" t="s">
        <v>590</v>
      </c>
      <c r="M81" s="277">
        <f ca="1">rF1.AxResistanceTop</f>
        <v>649.74000000000012</v>
      </c>
      <c r="N81" s="277">
        <f ca="1">rF1.AxResistanceMiddle</f>
        <v>569.12927129508648</v>
      </c>
      <c r="O81" s="277">
        <f ca="1">rF1.AxResistanceBottom</f>
        <v>649.74000000000012</v>
      </c>
      <c r="P81" s="265"/>
      <c r="Q81" s="265"/>
      <c r="R81" s="117"/>
      <c r="S81" s="155"/>
      <c r="W81" s="270" t="s">
        <v>123</v>
      </c>
      <c r="X81" s="189">
        <v>1.1499999999999999</v>
      </c>
      <c r="Y81" s="167" t="s">
        <v>94</v>
      </c>
      <c r="Z81" s="253">
        <f>rF1.WallHeight02</f>
        <v>2.645</v>
      </c>
      <c r="AA81" s="246">
        <f>rF1.WallHeight02</f>
        <v>2.645</v>
      </c>
      <c r="AC81" s="238">
        <v>19</v>
      </c>
      <c r="AD81" s="209">
        <f t="shared" ca="1" si="0"/>
        <v>-0.41640340800000059</v>
      </c>
      <c r="AE81" s="204">
        <f t="shared" si="1"/>
        <v>2.51275</v>
      </c>
      <c r="AJ81" s="259"/>
    </row>
    <row r="82" spans="11:36" ht="15" customHeight="1" x14ac:dyDescent="0.2">
      <c r="K82" s="278" t="s">
        <v>252</v>
      </c>
      <c r="L82" s="279" t="s">
        <v>110</v>
      </c>
      <c r="M82" s="280">
        <f ca="1">rF1.LoadFactorTop</f>
        <v>0.73547880690737821</v>
      </c>
      <c r="N82" s="280">
        <f ca="1">rF1.LoadFactorMiddle</f>
        <v>0.8529609320211502</v>
      </c>
      <c r="O82" s="280">
        <f ca="1">rF1.LoadFactorBottom</f>
        <v>0.75879592970842169</v>
      </c>
      <c r="P82" s="281"/>
      <c r="Q82" s="281"/>
      <c r="R82" s="117"/>
      <c r="S82" s="155"/>
      <c r="AC82" s="238">
        <v>20</v>
      </c>
      <c r="AD82" s="209">
        <f t="shared" ca="1" si="0"/>
        <v>-0.67161840000000006</v>
      </c>
      <c r="AE82" s="204">
        <f t="shared" si="1"/>
        <v>2.645</v>
      </c>
      <c r="AJ82" s="259"/>
    </row>
    <row r="83" spans="11:36" ht="15" customHeight="1" thickBot="1" x14ac:dyDescent="0.25">
      <c r="K83" s="276"/>
      <c r="L83" s="282"/>
      <c r="M83" s="283" t="str">
        <f ca="1">IF(rF1.LoadFactorTop&lt;=1,rP2.OutputProofFulfilled,IF(rF1.LoadFactorTop&gt;1,rP2.OutputProofNotFulfilled,""))</f>
        <v>NEd &lt; NRd</v>
      </c>
      <c r="N83" s="283" t="str">
        <f ca="1">IF(rF1.LoadFactorMiddle&lt;=1,rP2.OutputProofFulfilled,IF(rF1.LoadFactorMiddle&gt;1,rP2.OutputProofNotFulfilled,""))</f>
        <v>NEd &lt; NRd</v>
      </c>
      <c r="O83" s="283" t="str">
        <f ca="1">IF(rF1.LoadFactorBottom&lt;=1,rP2.OutputProofFulfilled,IF(rF1.LoadFactorBottom&gt;1,rP2.OutputProofNotFulfilled,""))</f>
        <v>NEd &lt; NRd</v>
      </c>
      <c r="P83" s="175"/>
      <c r="Q83" s="175"/>
      <c r="R83" s="117"/>
      <c r="S83" s="219"/>
      <c r="T83" s="222"/>
      <c r="U83" s="222"/>
      <c r="V83" s="222"/>
      <c r="W83" s="222"/>
      <c r="X83" s="222"/>
      <c r="Y83" s="222"/>
      <c r="Z83" s="222"/>
      <c r="AA83" s="222"/>
      <c r="AB83" s="222"/>
      <c r="AC83" s="274"/>
      <c r="AD83" s="224">
        <v>0</v>
      </c>
      <c r="AE83" s="223">
        <f>rF1.WallHeight02</f>
        <v>2.645</v>
      </c>
      <c r="AF83" s="222"/>
      <c r="AG83" s="222"/>
      <c r="AH83" s="222"/>
      <c r="AI83" s="222"/>
      <c r="AJ83" s="275"/>
    </row>
    <row r="84" spans="11:36" ht="15" customHeight="1" x14ac:dyDescent="0.2">
      <c r="K84" s="142" t="s">
        <v>584</v>
      </c>
      <c r="L84" s="142"/>
      <c r="M84" s="381" t="str">
        <f ca="1">IF(rF1.CheckWoodenSlabCalc,rP2.OutputEccentricityWoodenSlab,IF(rF1.CheckFireResManual02,rP2.OutputFireProofManual02,IF(rF1.CheckFireResColumn,rP2.FireProofManual,IF(rF1.LoadFactorTopFireMax=0,rP2.OutputFireResClassFail,""))))</f>
        <v xml:space="preserve">a &lt; 2/3 · t! → Brandnachweis ist händisch zu führen! </v>
      </c>
      <c r="N84" s="143"/>
      <c r="O84" s="143"/>
      <c r="P84" s="143"/>
      <c r="Q84" s="192"/>
      <c r="R84" s="117"/>
    </row>
    <row r="85" spans="11:36" ht="15" customHeight="1" x14ac:dyDescent="0.2">
      <c r="K85" s="146" t="s">
        <v>526</v>
      </c>
      <c r="L85" s="284" t="s">
        <v>524</v>
      </c>
      <c r="M85" s="285" t="str">
        <f ca="1">rF1.LoadFactorTopFireReduced</f>
        <v>-</v>
      </c>
      <c r="N85" s="285" t="str">
        <f ca="1">rF1.LoadFactorMiddleFireReduced</f>
        <v>-</v>
      </c>
      <c r="O85" s="285" t="str">
        <f ca="1">rF1.LoadFactorBottomFireReduced</f>
        <v>-</v>
      </c>
      <c r="P85" s="175"/>
      <c r="Q85" s="175"/>
      <c r="R85" s="117"/>
    </row>
    <row r="86" spans="11:36" ht="15" customHeight="1" x14ac:dyDescent="0.2">
      <c r="K86" s="266" t="s">
        <v>525</v>
      </c>
      <c r="L86" s="286" t="s">
        <v>489</v>
      </c>
      <c r="M86" s="287" t="str">
        <f ca="1">rF1.LoadFactorTopFireMax</f>
        <v>-</v>
      </c>
      <c r="N86" s="287" t="str">
        <f ca="1">rF1.LoadFactorMiddleFireMax</f>
        <v>-</v>
      </c>
      <c r="O86" s="287" t="str">
        <f ca="1">rF1.LoadFactorBottomFireMax</f>
        <v>-</v>
      </c>
      <c r="P86" s="281"/>
      <c r="Q86" s="281"/>
    </row>
    <row r="87" spans="11:36" ht="15" customHeight="1" x14ac:dyDescent="0.2">
      <c r="K87" s="276" t="s">
        <v>487</v>
      </c>
      <c r="L87" s="282" t="s">
        <v>488</v>
      </c>
      <c r="M87" s="288" t="str">
        <f ca="1">rF1.LoadFactorTopFire</f>
        <v>-</v>
      </c>
      <c r="N87" s="288" t="str">
        <f ca="1">rF1.LoadFactorMiddleFire</f>
        <v>-</v>
      </c>
      <c r="O87" s="288" t="str">
        <f ca="1">rF1.LoadFactorBottomFire</f>
        <v>-</v>
      </c>
      <c r="P87" s="175"/>
      <c r="Q87" s="175"/>
      <c r="R87" s="117"/>
    </row>
    <row r="88" spans="11:36" ht="15" customHeight="1" x14ac:dyDescent="0.2">
      <c r="K88" s="140" t="s">
        <v>253</v>
      </c>
      <c r="L88" s="140"/>
      <c r="M88" s="140"/>
      <c r="N88" s="140"/>
      <c r="O88" s="140"/>
      <c r="P88" s="140"/>
      <c r="Q88" s="141"/>
      <c r="R88" s="117"/>
    </row>
    <row r="89" spans="11:36" ht="15" customHeight="1" x14ac:dyDescent="0.2">
      <c r="K89" s="290" t="s">
        <v>254</v>
      </c>
      <c r="L89" s="291"/>
      <c r="M89" s="292"/>
      <c r="N89" s="293" t="s">
        <v>265</v>
      </c>
      <c r="O89" s="292"/>
      <c r="P89" s="294"/>
      <c r="Q89" s="294"/>
      <c r="R89" s="117"/>
    </row>
    <row r="90" spans="11:36" ht="15" customHeight="1" thickBot="1" x14ac:dyDescent="0.25">
      <c r="K90" s="170"/>
      <c r="L90" s="146"/>
      <c r="M90" s="295"/>
      <c r="N90" s="295"/>
      <c r="O90" s="295"/>
      <c r="P90" s="265"/>
      <c r="Q90" s="265"/>
    </row>
    <row r="91" spans="11:36" ht="15" customHeight="1" x14ac:dyDescent="0.2">
      <c r="K91" s="170"/>
      <c r="L91" s="146"/>
      <c r="M91" s="295"/>
      <c r="N91" s="295"/>
      <c r="O91" s="295"/>
      <c r="P91" s="265"/>
      <c r="Q91" s="265"/>
      <c r="R91" s="409"/>
      <c r="S91" s="149" t="s">
        <v>120</v>
      </c>
      <c r="T91" s="151"/>
      <c r="U91" s="151"/>
      <c r="V91" s="151"/>
      <c r="W91" s="151"/>
      <c r="X91" s="151"/>
      <c r="Y91" s="151"/>
      <c r="Z91" s="151"/>
      <c r="AA91" s="151"/>
      <c r="AB91" s="151"/>
      <c r="AC91" s="151"/>
      <c r="AD91" s="151"/>
      <c r="AE91" s="151"/>
      <c r="AF91" s="151"/>
      <c r="AG91" s="151"/>
      <c r="AH91" s="151"/>
      <c r="AI91" s="289"/>
    </row>
    <row r="92" spans="11:36" ht="15" customHeight="1" x14ac:dyDescent="0.2">
      <c r="K92" s="170"/>
      <c r="L92" s="146"/>
      <c r="M92" s="295"/>
      <c r="N92" s="295"/>
      <c r="O92" s="295"/>
      <c r="P92" s="265"/>
      <c r="Q92" s="265"/>
      <c r="R92" s="117"/>
      <c r="S92" s="155"/>
      <c r="AI92" s="259"/>
    </row>
    <row r="93" spans="11:36" ht="15" customHeight="1" x14ac:dyDescent="0.2">
      <c r="K93" s="170"/>
      <c r="L93" s="146"/>
      <c r="M93" s="295"/>
      <c r="N93" s="295"/>
      <c r="O93" s="295"/>
      <c r="P93" s="265"/>
      <c r="Q93" s="265"/>
      <c r="R93" s="117"/>
      <c r="S93" s="155"/>
      <c r="T93" s="210" t="s">
        <v>96</v>
      </c>
      <c r="U93" s="296">
        <f ca="1">(rF1.BearingDepthTop02-2*0.05*rF1.BearingDepthTop02)*rF1.ReductionMasonryStrenghtArea02*rF1.ReductionMasonryStrengthLongTerm*rF1.MasonryStrenghtChar02/rF1.SafetyFactorMaterial02*1000</f>
        <v>649.74000000000012</v>
      </c>
      <c r="X93" s="210" t="s">
        <v>96</v>
      </c>
      <c r="Y93" s="296">
        <f ca="1">(rF1.BearingDepthBottom02-2*0.05*rF1.BearingDepthBottom02)*rF1.ReductionMasonryStrenghtArea02*rF1.ReductionMasonryStrengthLongTerm*rF1.MasonryStrenghtChar02/rF1.SafetyFactorMaterial02*1000</f>
        <v>649.74000000000012</v>
      </c>
      <c r="AB93" s="210" t="s">
        <v>96</v>
      </c>
      <c r="AC93" s="297" t="s">
        <v>0</v>
      </c>
      <c r="AI93" s="259"/>
    </row>
    <row r="94" spans="11:36" x14ac:dyDescent="0.2">
      <c r="K94" s="170"/>
      <c r="L94" s="146"/>
      <c r="M94" s="295"/>
      <c r="N94" s="295"/>
      <c r="O94" s="295"/>
      <c r="P94" s="265"/>
      <c r="Q94" s="265"/>
      <c r="R94" s="117"/>
      <c r="S94" s="155"/>
      <c r="T94" s="238" t="s">
        <v>100</v>
      </c>
      <c r="U94" s="233">
        <f>rF1.BearingDepthTop02</f>
        <v>0.245</v>
      </c>
      <c r="X94" s="238" t="s">
        <v>100</v>
      </c>
      <c r="Y94" s="233">
        <f>rF1.BearingDepthBottom02</f>
        <v>0.245</v>
      </c>
      <c r="AB94" s="238" t="s">
        <v>100</v>
      </c>
      <c r="AC94" s="298" t="s">
        <v>0</v>
      </c>
      <c r="AI94" s="259"/>
    </row>
    <row r="95" spans="11:36" x14ac:dyDescent="0.2">
      <c r="K95" s="170"/>
      <c r="L95" s="146"/>
      <c r="M95" s="295"/>
      <c r="N95" s="295"/>
      <c r="O95" s="295"/>
      <c r="P95" s="265"/>
      <c r="Q95" s="265"/>
      <c r="R95" s="117"/>
      <c r="S95" s="155"/>
      <c r="T95" s="238" t="s">
        <v>101</v>
      </c>
      <c r="U95" s="298" t="s">
        <v>0</v>
      </c>
      <c r="X95" s="238" t="s">
        <v>101</v>
      </c>
      <c r="Y95" s="298" t="s">
        <v>0</v>
      </c>
      <c r="AB95" s="238" t="s">
        <v>101</v>
      </c>
      <c r="AC95" s="233">
        <f ca="1">rF1.WallThickness02/2</f>
        <v>0.21249999999999999</v>
      </c>
      <c r="AI95" s="259"/>
    </row>
    <row r="96" spans="11:36" x14ac:dyDescent="0.2">
      <c r="K96" s="170"/>
      <c r="L96" s="146"/>
      <c r="M96" s="295"/>
      <c r="N96" s="295"/>
      <c r="O96" s="295"/>
      <c r="P96" s="265"/>
      <c r="Q96" s="265"/>
      <c r="R96" s="117"/>
      <c r="S96" s="155"/>
      <c r="T96" s="238" t="s">
        <v>105</v>
      </c>
      <c r="U96" s="233">
        <f ca="1">IF(rF1.CheckWoodenSlabCalc,-5,rF1.WallAxForceTop*rF1.EccentricityTotalTop)</f>
        <v>5.8539075</v>
      </c>
      <c r="X96" s="238" t="s">
        <v>105</v>
      </c>
      <c r="Y96" s="233">
        <f ca="1">IF(rF1.CheckWoodenSlabCalc,-5,rF1.WallAxForceBottom*rF1.EccentricityTotalBottom)</f>
        <v>6.0394958252671875</v>
      </c>
      <c r="AB96" s="238" t="s">
        <v>105</v>
      </c>
      <c r="AC96" s="233">
        <f ca="1">IF(rF1.CheckWoodenSlabCalc,-5,rF1.WallAxForceMiddle*rF1.EccentricityTotalMiddle)</f>
        <v>48.518225917840141</v>
      </c>
      <c r="AI96" s="259"/>
    </row>
    <row r="97" spans="11:35" x14ac:dyDescent="0.2">
      <c r="K97" s="170"/>
      <c r="L97" s="146"/>
      <c r="M97" s="295"/>
      <c r="N97" s="295"/>
      <c r="O97" s="295"/>
      <c r="P97" s="265"/>
      <c r="Q97" s="265"/>
      <c r="R97" s="117"/>
      <c r="S97" s="155"/>
      <c r="T97" s="211" t="s">
        <v>106</v>
      </c>
      <c r="U97" s="299">
        <f>rF1.WallAxForceTop</f>
        <v>477.87</v>
      </c>
      <c r="X97" s="211" t="s">
        <v>106</v>
      </c>
      <c r="Y97" s="299">
        <f ca="1">rF1.WallAxForceBottom</f>
        <v>493.02006736875001</v>
      </c>
      <c r="AB97" s="211" t="s">
        <v>106</v>
      </c>
      <c r="AC97" s="299">
        <f ca="1">rF1.WallAxForceMiddle</f>
        <v>485.44503368437501</v>
      </c>
      <c r="AI97" s="259"/>
    </row>
    <row r="98" spans="11:35" x14ac:dyDescent="0.2">
      <c r="K98" s="170"/>
      <c r="L98" s="146"/>
      <c r="M98" s="295"/>
      <c r="N98" s="295"/>
      <c r="O98" s="295"/>
      <c r="P98" s="265"/>
      <c r="Q98" s="265"/>
      <c r="R98" s="117"/>
      <c r="S98" s="155"/>
      <c r="AI98" s="259"/>
    </row>
    <row r="99" spans="11:35" x14ac:dyDescent="0.2">
      <c r="K99" s="170"/>
      <c r="L99" s="146"/>
      <c r="M99" s="295"/>
      <c r="N99" s="295"/>
      <c r="O99" s="295"/>
      <c r="P99" s="265"/>
      <c r="Q99" s="265"/>
      <c r="R99" s="117"/>
      <c r="S99" s="155"/>
      <c r="T99" s="134"/>
      <c r="U99" s="156" t="s">
        <v>97</v>
      </c>
      <c r="V99" s="237" t="s">
        <v>98</v>
      </c>
      <c r="W99" s="157" t="s">
        <v>99</v>
      </c>
      <c r="X99" s="134"/>
      <c r="Y99" s="156" t="s">
        <v>97</v>
      </c>
      <c r="Z99" s="237" t="s">
        <v>98</v>
      </c>
      <c r="AA99" s="157" t="s">
        <v>99</v>
      </c>
      <c r="AB99" s="134"/>
      <c r="AC99" s="156" t="s">
        <v>102</v>
      </c>
      <c r="AD99" s="237" t="s">
        <v>103</v>
      </c>
      <c r="AE99" s="237" t="s">
        <v>104</v>
      </c>
      <c r="AF99" s="300" t="s">
        <v>197</v>
      </c>
      <c r="AG99" s="237" t="s">
        <v>97</v>
      </c>
      <c r="AH99" s="157" t="s">
        <v>99</v>
      </c>
      <c r="AI99" s="259"/>
    </row>
    <row r="100" spans="11:35" x14ac:dyDescent="0.2">
      <c r="K100" s="170"/>
      <c r="L100" s="146"/>
      <c r="M100" s="295"/>
      <c r="N100" s="295"/>
      <c r="O100" s="295"/>
      <c r="P100" s="265"/>
      <c r="Q100" s="265"/>
      <c r="R100" s="117"/>
      <c r="S100" s="155"/>
      <c r="T100" s="210">
        <v>0</v>
      </c>
      <c r="U100" s="198">
        <f t="shared" ref="U100:U131" ca="1" si="2">IF(rF1.CheckWoodenSlabCalc,0,rF1.PlotAxForceFactor*rF1.PlotAxResistanceMaxTop)</f>
        <v>0</v>
      </c>
      <c r="V100" s="163">
        <v>0</v>
      </c>
      <c r="W100" s="186">
        <f ca="1">rF1.PlotAxForceTop*rF1.PlotExcentricityTop</f>
        <v>0</v>
      </c>
      <c r="Y100" s="198">
        <f t="shared" ref="Y100:Y131" ca="1" si="3">IF(rF1.CheckWoodenSlabCalc,0,rF1.PlotAxForceFactor*rF1.PlotAxResistanceMaxBottom)</f>
        <v>0</v>
      </c>
      <c r="Z100" s="163">
        <v>0</v>
      </c>
      <c r="AA100" s="186">
        <f ca="1">rF1.PlotAxForceBottom*rF1.PlotExcentricityBottom</f>
        <v>0</v>
      </c>
      <c r="AC100" s="198">
        <f t="shared" ref="AC100:AC132" ca="1" si="4">rF1.PlotAxForceFactor*rF1.PlotExcentricityLoadMax</f>
        <v>0</v>
      </c>
      <c r="AD100" s="163">
        <f t="shared" ref="AD100:AD132" ca="1" si="5">IF(rF1.WallSlenderness02&lt;=rP1.MaxSlendernessCreepEcc,0,0.002*rP1.CreepCoefficient*rF1.WallHeightBuckling/rF1.WallHeight02*SQRT(rF1.WallHeight02*rF1.PlotExcentricityLoadMiddle))</f>
        <v>0</v>
      </c>
      <c r="AE100" s="163">
        <f t="shared" ref="AE100:AE132" ca="1" si="6">MAX(rF1.PlotExcentricityCreepMiddle+rF1.PlotExcentricityLoadMiddle,0.05*rF1.WallThickness02)</f>
        <v>2.1250000000000002E-2</v>
      </c>
      <c r="AF100" s="163">
        <f t="shared" ref="AF100:AF131" ca="1" si="7">MIN(1.14*(1-2*rF1.PlotExcentricityTotalMiddle/rF1.WallThickness02)-0.024*rF1.WallHeightEffective/rF1.WallThickness02,1-2*rF1.PlotExcentricityTotalMiddle/rF1.WallThickness02)</f>
        <v>0.87663529411764707</v>
      </c>
      <c r="AG100" s="163">
        <f t="shared" ref="AG100:AG131" ca="1" si="8">IF(rF1.CheckWoodenSlabCalc,0,rF1.PlotReductionParameterMiddle*rF1.WallThickness02*rF1.ReductionMasonryStrenghtArea02*rF1.ReductionMasonryStrengthLongTerm*rF1.MasonryStrenghtChar02/rF1.SafetyFactorMaterial02*1000)</f>
        <v>1097.8396</v>
      </c>
      <c r="AH100" s="186">
        <v>0</v>
      </c>
      <c r="AI100" s="259"/>
    </row>
    <row r="101" spans="11:35" x14ac:dyDescent="0.2">
      <c r="K101" s="170"/>
      <c r="L101" s="146"/>
      <c r="M101" s="295"/>
      <c r="N101" s="295"/>
      <c r="O101" s="295"/>
      <c r="P101" s="265"/>
      <c r="Q101" s="265"/>
      <c r="R101" s="117"/>
      <c r="S101" s="155"/>
      <c r="T101" s="238">
        <v>0</v>
      </c>
      <c r="U101" s="209">
        <f t="shared" ca="1" si="2"/>
        <v>0</v>
      </c>
      <c r="V101" s="118">
        <f t="shared" ref="V101:V132" ca="1" si="9">rF1.PlotWallThicknessNettoTop/2-rF1.PlotAxForceTop*rF1.SafetyFactorMaterial02/(1000*2*rF1.MasonryStrenghtChar02*rF1.ReductionMasonryStrenghtArea02*rF1.ReductionMasonryStrengthLongTerm)</f>
        <v>0.1225</v>
      </c>
      <c r="W101" s="204">
        <f ca="1">rF1.PlotAxForceTop*rF1.PlotExcentricityTop</f>
        <v>0</v>
      </c>
      <c r="Y101" s="209">
        <f t="shared" ca="1" si="3"/>
        <v>0</v>
      </c>
      <c r="Z101" s="118">
        <f t="shared" ref="Z101:Z132" ca="1" si="10">rF1.PlotWallThicknessNettoBottom/2-rF1.PlotAxForceBottom*rF1.SafetyFactorMaterial02/(1000*2*rF1.MasonryStrenghtChar02*rF1.ReductionMasonryStrenghtArea02*rF1.ReductionMasonryStrengthLongTerm)</f>
        <v>0.1225</v>
      </c>
      <c r="AA101" s="204">
        <f ca="1">rF1.PlotAxForceBottom*rF1.PlotExcentricityBottom</f>
        <v>0</v>
      </c>
      <c r="AC101" s="209">
        <f t="shared" ca="1" si="4"/>
        <v>0</v>
      </c>
      <c r="AD101" s="118">
        <f t="shared" ca="1" si="5"/>
        <v>0</v>
      </c>
      <c r="AE101" s="118">
        <f t="shared" ca="1" si="6"/>
        <v>2.1250000000000002E-2</v>
      </c>
      <c r="AF101" s="118">
        <f t="shared" ca="1" si="7"/>
        <v>0.87663529411764707</v>
      </c>
      <c r="AG101" s="118">
        <f t="shared" ca="1" si="8"/>
        <v>1097.8396</v>
      </c>
      <c r="AH101" s="204">
        <f t="shared" ref="AH101:AH132" ca="1" si="11">rF1.PlotExcentricityTotalMiddle*rF1.PlotAxForceMiddle</f>
        <v>23.329091500000001</v>
      </c>
      <c r="AI101" s="259"/>
    </row>
    <row r="102" spans="11:35" x14ac:dyDescent="0.2">
      <c r="K102" s="170"/>
      <c r="L102" s="146"/>
      <c r="M102" s="295"/>
      <c r="N102" s="295"/>
      <c r="O102" s="295"/>
      <c r="P102" s="265"/>
      <c r="Q102" s="265"/>
      <c r="R102" s="117"/>
      <c r="S102" s="155"/>
      <c r="T102" s="238">
        <v>0.01</v>
      </c>
      <c r="U102" s="209">
        <f t="shared" ca="1" si="2"/>
        <v>6.4974000000000016</v>
      </c>
      <c r="V102" s="118">
        <f t="shared" ca="1" si="9"/>
        <v>0.12139749999999999</v>
      </c>
      <c r="W102" s="204">
        <f t="shared" ref="W102:W132" ca="1" si="12">rF1.PlotAxForceTop*rF1.PlotExcentricityTop</f>
        <v>0.78876811650000012</v>
      </c>
      <c r="Y102" s="209">
        <f t="shared" ca="1" si="3"/>
        <v>6.4974000000000016</v>
      </c>
      <c r="Z102" s="118">
        <f t="shared" ca="1" si="10"/>
        <v>0.12139749999999999</v>
      </c>
      <c r="AA102" s="204">
        <f t="shared" ref="AA102:AA132" ca="1" si="13">rF1.PlotAxForceBottom*rF1.PlotExcentricityBottom</f>
        <v>0.78876811650000012</v>
      </c>
      <c r="AC102" s="209">
        <f t="shared" ca="1" si="4"/>
        <v>2.1250000000000002E-3</v>
      </c>
      <c r="AD102" s="118">
        <f t="shared" ca="1" si="5"/>
        <v>0</v>
      </c>
      <c r="AE102" s="118">
        <f t="shared" ca="1" si="6"/>
        <v>2.1250000000000002E-2</v>
      </c>
      <c r="AF102" s="118">
        <f t="shared" ca="1" si="7"/>
        <v>0.87663529411764707</v>
      </c>
      <c r="AG102" s="118">
        <f t="shared" ca="1" si="8"/>
        <v>1097.8396</v>
      </c>
      <c r="AH102" s="204">
        <f t="shared" ca="1" si="11"/>
        <v>23.329091500000001</v>
      </c>
      <c r="AI102" s="259"/>
    </row>
    <row r="103" spans="11:35" x14ac:dyDescent="0.2">
      <c r="K103" s="170"/>
      <c r="L103" s="146"/>
      <c r="M103" s="295"/>
      <c r="N103" s="295"/>
      <c r="O103" s="295"/>
      <c r="P103" s="265"/>
      <c r="Q103" s="265"/>
      <c r="R103" s="117"/>
      <c r="S103" s="155"/>
      <c r="T103" s="238">
        <v>0.02</v>
      </c>
      <c r="U103" s="209">
        <f t="shared" ca="1" si="2"/>
        <v>12.994800000000003</v>
      </c>
      <c r="V103" s="118">
        <f t="shared" ca="1" si="9"/>
        <v>0.120295</v>
      </c>
      <c r="W103" s="204">
        <f t="shared" ca="1" si="12"/>
        <v>1.5632094660000004</v>
      </c>
      <c r="Y103" s="209">
        <f t="shared" ca="1" si="3"/>
        <v>12.994800000000003</v>
      </c>
      <c r="Z103" s="118">
        <f t="shared" ca="1" si="10"/>
        <v>0.120295</v>
      </c>
      <c r="AA103" s="204">
        <f t="shared" ca="1" si="13"/>
        <v>1.5632094660000004</v>
      </c>
      <c r="AC103" s="209">
        <f t="shared" ca="1" si="4"/>
        <v>4.2500000000000003E-3</v>
      </c>
      <c r="AD103" s="118">
        <f t="shared" ca="1" si="5"/>
        <v>0</v>
      </c>
      <c r="AE103" s="118">
        <f t="shared" ca="1" si="6"/>
        <v>2.1250000000000002E-2</v>
      </c>
      <c r="AF103" s="118">
        <f t="shared" ca="1" si="7"/>
        <v>0.87663529411764707</v>
      </c>
      <c r="AG103" s="118">
        <f t="shared" ca="1" si="8"/>
        <v>1097.8396</v>
      </c>
      <c r="AH103" s="204">
        <f t="shared" ca="1" si="11"/>
        <v>23.329091500000001</v>
      </c>
      <c r="AI103" s="259"/>
    </row>
    <row r="104" spans="11:35" x14ac:dyDescent="0.2">
      <c r="K104" s="170"/>
      <c r="L104" s="146"/>
      <c r="M104" s="295"/>
      <c r="N104" s="295"/>
      <c r="O104" s="295"/>
      <c r="P104" s="265"/>
      <c r="Q104" s="265"/>
      <c r="R104" s="117"/>
      <c r="S104" s="155"/>
      <c r="T104" s="238">
        <v>0.03</v>
      </c>
      <c r="U104" s="209">
        <f t="shared" ca="1" si="2"/>
        <v>19.492200000000004</v>
      </c>
      <c r="V104" s="118">
        <f t="shared" ca="1" si="9"/>
        <v>0.11919249999999999</v>
      </c>
      <c r="W104" s="204">
        <f t="shared" ca="1" si="12"/>
        <v>2.3233240485000004</v>
      </c>
      <c r="Y104" s="209">
        <f t="shared" ca="1" si="3"/>
        <v>19.492200000000004</v>
      </c>
      <c r="Z104" s="118">
        <f t="shared" ca="1" si="10"/>
        <v>0.11919249999999999</v>
      </c>
      <c r="AA104" s="204">
        <f t="shared" ca="1" si="13"/>
        <v>2.3233240485000004</v>
      </c>
      <c r="AC104" s="209">
        <f t="shared" ca="1" si="4"/>
        <v>6.3749999999999996E-3</v>
      </c>
      <c r="AD104" s="118">
        <f t="shared" ca="1" si="5"/>
        <v>0</v>
      </c>
      <c r="AE104" s="118">
        <f t="shared" ca="1" si="6"/>
        <v>2.1250000000000002E-2</v>
      </c>
      <c r="AF104" s="118">
        <f t="shared" ca="1" si="7"/>
        <v>0.87663529411764707</v>
      </c>
      <c r="AG104" s="118">
        <f t="shared" ca="1" si="8"/>
        <v>1097.8396</v>
      </c>
      <c r="AH104" s="204">
        <f t="shared" ca="1" si="11"/>
        <v>23.329091500000001</v>
      </c>
      <c r="AI104" s="259"/>
    </row>
    <row r="105" spans="11:35" x14ac:dyDescent="0.2">
      <c r="K105" s="170"/>
      <c r="L105" s="146"/>
      <c r="M105" s="295"/>
      <c r="N105" s="295"/>
      <c r="O105" s="295"/>
      <c r="P105" s="265"/>
      <c r="Q105" s="265"/>
      <c r="R105" s="117"/>
      <c r="S105" s="155"/>
      <c r="T105" s="238">
        <v>0.04</v>
      </c>
      <c r="U105" s="209">
        <f t="shared" ca="1" si="2"/>
        <v>25.989600000000006</v>
      </c>
      <c r="V105" s="118">
        <f t="shared" ca="1" si="9"/>
        <v>0.11809</v>
      </c>
      <c r="W105" s="204">
        <f t="shared" ca="1" si="12"/>
        <v>3.0691118640000008</v>
      </c>
      <c r="Y105" s="209">
        <f t="shared" ca="1" si="3"/>
        <v>25.989600000000006</v>
      </c>
      <c r="Z105" s="118">
        <f t="shared" ca="1" si="10"/>
        <v>0.11809</v>
      </c>
      <c r="AA105" s="204">
        <f t="shared" ca="1" si="13"/>
        <v>3.0691118640000008</v>
      </c>
      <c r="AC105" s="209">
        <f t="shared" ca="1" si="4"/>
        <v>8.5000000000000006E-3</v>
      </c>
      <c r="AD105" s="118">
        <f t="shared" ca="1" si="5"/>
        <v>0</v>
      </c>
      <c r="AE105" s="118">
        <f t="shared" ca="1" si="6"/>
        <v>2.1250000000000002E-2</v>
      </c>
      <c r="AF105" s="118">
        <f t="shared" ca="1" si="7"/>
        <v>0.87663529411764707</v>
      </c>
      <c r="AG105" s="118">
        <f t="shared" ca="1" si="8"/>
        <v>1097.8396</v>
      </c>
      <c r="AH105" s="204">
        <f t="shared" ca="1" si="11"/>
        <v>23.329091500000001</v>
      </c>
      <c r="AI105" s="259"/>
    </row>
    <row r="106" spans="11:35" x14ac:dyDescent="0.2">
      <c r="K106" s="290" t="s">
        <v>266</v>
      </c>
      <c r="L106" s="291"/>
      <c r="M106" s="301"/>
      <c r="N106" s="302" t="s">
        <v>267</v>
      </c>
      <c r="O106" s="301"/>
      <c r="P106" s="294"/>
      <c r="Q106" s="294"/>
      <c r="R106" s="117"/>
      <c r="S106" s="155"/>
      <c r="T106" s="238">
        <v>0.05</v>
      </c>
      <c r="U106" s="209">
        <f t="shared" ca="1" si="2"/>
        <v>32.487000000000009</v>
      </c>
      <c r="V106" s="118">
        <f t="shared" ca="1" si="9"/>
        <v>0.11698749999999999</v>
      </c>
      <c r="W106" s="204">
        <f t="shared" ca="1" si="12"/>
        <v>3.8005729125000007</v>
      </c>
      <c r="Y106" s="209">
        <f t="shared" ca="1" si="3"/>
        <v>32.487000000000009</v>
      </c>
      <c r="Z106" s="118">
        <f t="shared" ca="1" si="10"/>
        <v>0.11698749999999999</v>
      </c>
      <c r="AA106" s="204">
        <f t="shared" ca="1" si="13"/>
        <v>3.8005729125000007</v>
      </c>
      <c r="AC106" s="209">
        <f t="shared" ca="1" si="4"/>
        <v>1.0625000000000001E-2</v>
      </c>
      <c r="AD106" s="118">
        <f t="shared" ca="1" si="5"/>
        <v>0</v>
      </c>
      <c r="AE106" s="118">
        <f t="shared" ca="1" si="6"/>
        <v>2.1250000000000002E-2</v>
      </c>
      <c r="AF106" s="118">
        <f t="shared" ca="1" si="7"/>
        <v>0.87663529411764707</v>
      </c>
      <c r="AG106" s="118">
        <f t="shared" ca="1" si="8"/>
        <v>1097.8396</v>
      </c>
      <c r="AH106" s="204">
        <f t="shared" ca="1" si="11"/>
        <v>23.329091500000001</v>
      </c>
      <c r="AI106" s="259"/>
    </row>
    <row r="107" spans="11:35" x14ac:dyDescent="0.2">
      <c r="K107" s="146"/>
      <c r="L107" s="146"/>
      <c r="M107" s="303"/>
      <c r="N107" s="303"/>
      <c r="O107" s="303"/>
      <c r="P107" s="265"/>
      <c r="Q107" s="265"/>
      <c r="R107" s="117"/>
      <c r="S107" s="155"/>
      <c r="T107" s="238">
        <v>0.06</v>
      </c>
      <c r="U107" s="209">
        <f t="shared" ca="1" si="2"/>
        <v>38.984400000000008</v>
      </c>
      <c r="V107" s="118">
        <f t="shared" ca="1" si="9"/>
        <v>0.115885</v>
      </c>
      <c r="W107" s="204">
        <f t="shared" ca="1" si="12"/>
        <v>4.5177071940000006</v>
      </c>
      <c r="Y107" s="209">
        <f t="shared" ca="1" si="3"/>
        <v>38.984400000000008</v>
      </c>
      <c r="Z107" s="118">
        <f t="shared" ca="1" si="10"/>
        <v>0.115885</v>
      </c>
      <c r="AA107" s="204">
        <f t="shared" ca="1" si="13"/>
        <v>4.5177071940000006</v>
      </c>
      <c r="AC107" s="209">
        <f t="shared" ca="1" si="4"/>
        <v>1.2749999999999999E-2</v>
      </c>
      <c r="AD107" s="118">
        <f t="shared" ca="1" si="5"/>
        <v>0</v>
      </c>
      <c r="AE107" s="118">
        <f t="shared" ca="1" si="6"/>
        <v>2.1250000000000002E-2</v>
      </c>
      <c r="AF107" s="118">
        <f t="shared" ca="1" si="7"/>
        <v>0.87663529411764707</v>
      </c>
      <c r="AG107" s="118">
        <f t="shared" ca="1" si="8"/>
        <v>1097.8396</v>
      </c>
      <c r="AH107" s="204">
        <f t="shared" ca="1" si="11"/>
        <v>23.329091500000001</v>
      </c>
      <c r="AI107" s="259"/>
    </row>
    <row r="108" spans="11:35" x14ac:dyDescent="0.2">
      <c r="K108" s="170"/>
      <c r="L108" s="146"/>
      <c r="M108" s="265"/>
      <c r="N108" s="265"/>
      <c r="O108" s="265"/>
      <c r="P108" s="265"/>
      <c r="Q108" s="265"/>
      <c r="R108" s="409"/>
      <c r="S108" s="155"/>
      <c r="T108" s="238">
        <v>7.0000000000000007E-2</v>
      </c>
      <c r="U108" s="209">
        <f t="shared" ca="1" si="2"/>
        <v>45.481800000000014</v>
      </c>
      <c r="V108" s="118">
        <f t="shared" ca="1" si="9"/>
        <v>0.1147825</v>
      </c>
      <c r="W108" s="204">
        <f t="shared" ca="1" si="12"/>
        <v>5.2205147085000014</v>
      </c>
      <c r="Y108" s="209">
        <f t="shared" ca="1" si="3"/>
        <v>45.481800000000014</v>
      </c>
      <c r="Z108" s="118">
        <f t="shared" ca="1" si="10"/>
        <v>0.1147825</v>
      </c>
      <c r="AA108" s="204">
        <f t="shared" ca="1" si="13"/>
        <v>5.2205147085000014</v>
      </c>
      <c r="AC108" s="209">
        <f t="shared" ca="1" si="4"/>
        <v>1.4875000000000001E-2</v>
      </c>
      <c r="AD108" s="118">
        <f t="shared" ca="1" si="5"/>
        <v>0</v>
      </c>
      <c r="AE108" s="118">
        <f t="shared" ca="1" si="6"/>
        <v>2.1250000000000002E-2</v>
      </c>
      <c r="AF108" s="118">
        <f t="shared" ca="1" si="7"/>
        <v>0.87663529411764707</v>
      </c>
      <c r="AG108" s="118">
        <f t="shared" ca="1" si="8"/>
        <v>1097.8396</v>
      </c>
      <c r="AH108" s="204">
        <f t="shared" ca="1" si="11"/>
        <v>23.329091500000001</v>
      </c>
      <c r="AI108" s="259"/>
    </row>
    <row r="109" spans="11:35" x14ac:dyDescent="0.2">
      <c r="K109" s="218"/>
      <c r="L109" s="146"/>
      <c r="M109" s="264"/>
      <c r="N109" s="264"/>
      <c r="O109" s="264"/>
      <c r="P109" s="264"/>
      <c r="Q109" s="265"/>
      <c r="R109" s="117"/>
      <c r="S109" s="155"/>
      <c r="T109" s="238">
        <v>0.08</v>
      </c>
      <c r="U109" s="209">
        <f t="shared" ca="1" si="2"/>
        <v>51.979200000000013</v>
      </c>
      <c r="V109" s="118">
        <f t="shared" ca="1" si="9"/>
        <v>0.11368</v>
      </c>
      <c r="W109" s="204">
        <f t="shared" ca="1" si="12"/>
        <v>5.9089954560000013</v>
      </c>
      <c r="Y109" s="209">
        <f t="shared" ca="1" si="3"/>
        <v>51.979200000000013</v>
      </c>
      <c r="Z109" s="118">
        <f t="shared" ca="1" si="10"/>
        <v>0.11368</v>
      </c>
      <c r="AA109" s="204">
        <f t="shared" ca="1" si="13"/>
        <v>5.9089954560000013</v>
      </c>
      <c r="AC109" s="209">
        <f t="shared" ca="1" si="4"/>
        <v>1.7000000000000001E-2</v>
      </c>
      <c r="AD109" s="118">
        <f t="shared" ca="1" si="5"/>
        <v>0</v>
      </c>
      <c r="AE109" s="118">
        <f t="shared" ca="1" si="6"/>
        <v>2.1250000000000002E-2</v>
      </c>
      <c r="AF109" s="118">
        <f t="shared" ca="1" si="7"/>
        <v>0.87663529411764707</v>
      </c>
      <c r="AG109" s="118">
        <f t="shared" ca="1" si="8"/>
        <v>1097.8396</v>
      </c>
      <c r="AH109" s="204">
        <f t="shared" ca="1" si="11"/>
        <v>23.329091500000001</v>
      </c>
      <c r="AI109" s="259"/>
    </row>
    <row r="110" spans="11:35" x14ac:dyDescent="0.2">
      <c r="K110" s="218"/>
      <c r="L110" s="146"/>
      <c r="M110" s="264"/>
      <c r="N110" s="264"/>
      <c r="O110" s="264"/>
      <c r="P110" s="264"/>
      <c r="Q110" s="265"/>
      <c r="R110" s="117"/>
      <c r="S110" s="155"/>
      <c r="T110" s="238">
        <v>0.09</v>
      </c>
      <c r="U110" s="209">
        <f t="shared" ca="1" si="2"/>
        <v>58.476600000000012</v>
      </c>
      <c r="V110" s="118">
        <f t="shared" ca="1" si="9"/>
        <v>0.1125775</v>
      </c>
      <c r="W110" s="204">
        <f t="shared" ca="1" si="12"/>
        <v>6.5831494365000012</v>
      </c>
      <c r="Y110" s="209">
        <f t="shared" ca="1" si="3"/>
        <v>58.476600000000012</v>
      </c>
      <c r="Z110" s="118">
        <f t="shared" ca="1" si="10"/>
        <v>0.1125775</v>
      </c>
      <c r="AA110" s="204">
        <f t="shared" ca="1" si="13"/>
        <v>6.5831494365000012</v>
      </c>
      <c r="AC110" s="209">
        <f t="shared" ca="1" si="4"/>
        <v>1.9125E-2</v>
      </c>
      <c r="AD110" s="118">
        <f t="shared" ca="1" si="5"/>
        <v>0</v>
      </c>
      <c r="AE110" s="118">
        <f t="shared" ca="1" si="6"/>
        <v>2.1250000000000002E-2</v>
      </c>
      <c r="AF110" s="118">
        <f t="shared" ca="1" si="7"/>
        <v>0.87663529411764707</v>
      </c>
      <c r="AG110" s="118">
        <f t="shared" ca="1" si="8"/>
        <v>1097.8396</v>
      </c>
      <c r="AH110" s="204">
        <f t="shared" ca="1" si="11"/>
        <v>23.329091500000001</v>
      </c>
      <c r="AI110" s="259"/>
    </row>
    <row r="111" spans="11:35" x14ac:dyDescent="0.2">
      <c r="K111" s="170"/>
      <c r="L111" s="146"/>
      <c r="M111" s="265"/>
      <c r="N111" s="265"/>
      <c r="O111" s="265"/>
      <c r="P111" s="265"/>
      <c r="Q111" s="265"/>
      <c r="R111" s="117"/>
      <c r="S111" s="155"/>
      <c r="T111" s="238">
        <v>0.1</v>
      </c>
      <c r="U111" s="209">
        <f t="shared" ca="1" si="2"/>
        <v>64.974000000000018</v>
      </c>
      <c r="V111" s="118">
        <f t="shared" ca="1" si="9"/>
        <v>0.11147499999999999</v>
      </c>
      <c r="W111" s="204">
        <f t="shared" ca="1" si="12"/>
        <v>7.242976650000001</v>
      </c>
      <c r="Y111" s="209">
        <f t="shared" ca="1" si="3"/>
        <v>64.974000000000018</v>
      </c>
      <c r="Z111" s="118">
        <f t="shared" ca="1" si="10"/>
        <v>0.11147499999999999</v>
      </c>
      <c r="AA111" s="204">
        <f t="shared" ca="1" si="13"/>
        <v>7.242976650000001</v>
      </c>
      <c r="AC111" s="209">
        <f t="shared" ca="1" si="4"/>
        <v>2.1250000000000002E-2</v>
      </c>
      <c r="AD111" s="118">
        <f t="shared" ca="1" si="5"/>
        <v>0</v>
      </c>
      <c r="AE111" s="118">
        <f t="shared" ca="1" si="6"/>
        <v>2.1250000000000002E-2</v>
      </c>
      <c r="AF111" s="118">
        <f t="shared" ca="1" si="7"/>
        <v>0.87663529411764707</v>
      </c>
      <c r="AG111" s="118">
        <f t="shared" ca="1" si="8"/>
        <v>1097.8396</v>
      </c>
      <c r="AH111" s="204">
        <f t="shared" ca="1" si="11"/>
        <v>23.329091500000001</v>
      </c>
      <c r="AI111" s="259"/>
    </row>
    <row r="112" spans="11:35" x14ac:dyDescent="0.2">
      <c r="K112" s="170"/>
      <c r="L112" s="146"/>
      <c r="M112" s="265"/>
      <c r="N112" s="265"/>
      <c r="O112" s="265"/>
      <c r="P112" s="265"/>
      <c r="Q112" s="265"/>
      <c r="R112" s="117"/>
      <c r="S112" s="155"/>
      <c r="T112" s="238">
        <v>0.11</v>
      </c>
      <c r="U112" s="209">
        <f t="shared" ca="1" si="2"/>
        <v>71.471400000000017</v>
      </c>
      <c r="V112" s="118">
        <f t="shared" ca="1" si="9"/>
        <v>0.1103725</v>
      </c>
      <c r="W112" s="204">
        <f t="shared" ca="1" si="12"/>
        <v>7.8884770965000017</v>
      </c>
      <c r="Y112" s="209">
        <f t="shared" ca="1" si="3"/>
        <v>71.471400000000017</v>
      </c>
      <c r="Z112" s="118">
        <f t="shared" ca="1" si="10"/>
        <v>0.1103725</v>
      </c>
      <c r="AA112" s="204">
        <f t="shared" ca="1" si="13"/>
        <v>7.8884770965000017</v>
      </c>
      <c r="AC112" s="209">
        <f t="shared" ca="1" si="4"/>
        <v>2.3375E-2</v>
      </c>
      <c r="AD112" s="118">
        <f t="shared" ca="1" si="5"/>
        <v>0</v>
      </c>
      <c r="AE112" s="118">
        <f t="shared" ca="1" si="6"/>
        <v>2.3375E-2</v>
      </c>
      <c r="AF112" s="118">
        <f t="shared" ca="1" si="7"/>
        <v>0.86523529411764699</v>
      </c>
      <c r="AG112" s="118">
        <f t="shared" ca="1" si="8"/>
        <v>1083.5630000000001</v>
      </c>
      <c r="AH112" s="204">
        <f t="shared" ca="1" si="11"/>
        <v>25.328285125000001</v>
      </c>
      <c r="AI112" s="259"/>
    </row>
    <row r="113" spans="11:35" x14ac:dyDescent="0.2">
      <c r="K113" s="170"/>
      <c r="L113" s="146"/>
      <c r="M113" s="265"/>
      <c r="N113" s="265"/>
      <c r="O113" s="265"/>
      <c r="P113" s="265"/>
      <c r="Q113" s="265"/>
      <c r="R113" s="117"/>
      <c r="S113" s="155"/>
      <c r="T113" s="238">
        <v>0.12</v>
      </c>
      <c r="U113" s="209">
        <f t="shared" ca="1" si="2"/>
        <v>77.968800000000016</v>
      </c>
      <c r="V113" s="118">
        <f t="shared" ca="1" si="9"/>
        <v>0.10926999999999999</v>
      </c>
      <c r="W113" s="204">
        <f t="shared" ca="1" si="12"/>
        <v>8.5196507760000006</v>
      </c>
      <c r="Y113" s="209">
        <f t="shared" ca="1" si="3"/>
        <v>77.968800000000016</v>
      </c>
      <c r="Z113" s="118">
        <f t="shared" ca="1" si="10"/>
        <v>0.10926999999999999</v>
      </c>
      <c r="AA113" s="204">
        <f t="shared" ca="1" si="13"/>
        <v>8.5196507760000006</v>
      </c>
      <c r="AC113" s="209">
        <f t="shared" ca="1" si="4"/>
        <v>2.5499999999999998E-2</v>
      </c>
      <c r="AD113" s="118">
        <f t="shared" ca="1" si="5"/>
        <v>0</v>
      </c>
      <c r="AE113" s="118">
        <f t="shared" ca="1" si="6"/>
        <v>2.5499999999999998E-2</v>
      </c>
      <c r="AF113" s="118">
        <f t="shared" ca="1" si="7"/>
        <v>0.85383529411764691</v>
      </c>
      <c r="AG113" s="118">
        <f t="shared" ca="1" si="8"/>
        <v>1069.2864</v>
      </c>
      <c r="AH113" s="204">
        <f t="shared" ca="1" si="11"/>
        <v>27.266803199999998</v>
      </c>
      <c r="AI113" s="259"/>
    </row>
    <row r="114" spans="11:35" x14ac:dyDescent="0.2">
      <c r="K114" s="170"/>
      <c r="L114" s="146"/>
      <c r="M114" s="265"/>
      <c r="N114" s="265"/>
      <c r="O114" s="265"/>
      <c r="P114" s="265"/>
      <c r="Q114" s="265"/>
      <c r="R114" s="117"/>
      <c r="S114" s="155"/>
      <c r="T114" s="238">
        <v>0.13</v>
      </c>
      <c r="U114" s="209">
        <f t="shared" ca="1" si="2"/>
        <v>84.466200000000015</v>
      </c>
      <c r="V114" s="118">
        <f t="shared" ca="1" si="9"/>
        <v>0.1081675</v>
      </c>
      <c r="W114" s="204">
        <f t="shared" ca="1" si="12"/>
        <v>9.1364976885000022</v>
      </c>
      <c r="Y114" s="209">
        <f t="shared" ca="1" si="3"/>
        <v>84.466200000000015</v>
      </c>
      <c r="Z114" s="118">
        <f t="shared" ca="1" si="10"/>
        <v>0.1081675</v>
      </c>
      <c r="AA114" s="204">
        <f t="shared" ca="1" si="13"/>
        <v>9.1364976885000022</v>
      </c>
      <c r="AC114" s="209">
        <f t="shared" ca="1" si="4"/>
        <v>2.7625E-2</v>
      </c>
      <c r="AD114" s="118">
        <f t="shared" ca="1" si="5"/>
        <v>0</v>
      </c>
      <c r="AE114" s="118">
        <f t="shared" ca="1" si="6"/>
        <v>2.7625E-2</v>
      </c>
      <c r="AF114" s="118">
        <f t="shared" ca="1" si="7"/>
        <v>0.84243529411764695</v>
      </c>
      <c r="AG114" s="118">
        <f t="shared" ca="1" si="8"/>
        <v>1055.0097999999998</v>
      </c>
      <c r="AH114" s="204">
        <f t="shared" ca="1" si="11"/>
        <v>29.144645724999997</v>
      </c>
      <c r="AI114" s="259"/>
    </row>
    <row r="115" spans="11:35" x14ac:dyDescent="0.2">
      <c r="K115" s="170"/>
      <c r="L115" s="146"/>
      <c r="M115" s="265"/>
      <c r="N115" s="265"/>
      <c r="O115" s="265"/>
      <c r="P115" s="265"/>
      <c r="Q115" s="265"/>
      <c r="R115" s="117"/>
      <c r="S115" s="155"/>
      <c r="T115" s="238">
        <v>0.14000000000000001</v>
      </c>
      <c r="U115" s="209">
        <f t="shared" ca="1" si="2"/>
        <v>90.963600000000028</v>
      </c>
      <c r="V115" s="118">
        <f t="shared" ca="1" si="9"/>
        <v>0.10706499999999999</v>
      </c>
      <c r="W115" s="204">
        <f t="shared" ca="1" si="12"/>
        <v>9.739017834000002</v>
      </c>
      <c r="Y115" s="209">
        <f t="shared" ca="1" si="3"/>
        <v>90.963600000000028</v>
      </c>
      <c r="Z115" s="118">
        <f t="shared" ca="1" si="10"/>
        <v>0.10706499999999999</v>
      </c>
      <c r="AA115" s="204">
        <f t="shared" ca="1" si="13"/>
        <v>9.739017834000002</v>
      </c>
      <c r="AC115" s="209">
        <f t="shared" ca="1" si="4"/>
        <v>2.9750000000000002E-2</v>
      </c>
      <c r="AD115" s="118">
        <f t="shared" ca="1" si="5"/>
        <v>0</v>
      </c>
      <c r="AE115" s="118">
        <f t="shared" ca="1" si="6"/>
        <v>2.9750000000000002E-2</v>
      </c>
      <c r="AF115" s="118">
        <f t="shared" ca="1" si="7"/>
        <v>0.83103529411764698</v>
      </c>
      <c r="AG115" s="118">
        <f t="shared" ca="1" si="8"/>
        <v>1040.7331999999999</v>
      </c>
      <c r="AH115" s="204">
        <f t="shared" ca="1" si="11"/>
        <v>30.961812699999999</v>
      </c>
      <c r="AI115" s="259"/>
    </row>
    <row r="116" spans="11:35" x14ac:dyDescent="0.2">
      <c r="K116" s="170"/>
      <c r="L116" s="146"/>
      <c r="M116" s="265"/>
      <c r="N116" s="265"/>
      <c r="O116" s="265"/>
      <c r="P116" s="265"/>
      <c r="Q116" s="265"/>
      <c r="R116" s="117"/>
      <c r="S116" s="155"/>
      <c r="T116" s="238">
        <v>0.15</v>
      </c>
      <c r="U116" s="209">
        <f t="shared" ca="1" si="2"/>
        <v>97.461000000000013</v>
      </c>
      <c r="V116" s="118">
        <f t="shared" ca="1" si="9"/>
        <v>0.10596249999999999</v>
      </c>
      <c r="W116" s="204">
        <f t="shared" ca="1" si="12"/>
        <v>10.3272112125</v>
      </c>
      <c r="Y116" s="209">
        <f t="shared" ca="1" si="3"/>
        <v>97.461000000000013</v>
      </c>
      <c r="Z116" s="118">
        <f t="shared" ca="1" si="10"/>
        <v>0.10596249999999999</v>
      </c>
      <c r="AA116" s="204">
        <f t="shared" ca="1" si="13"/>
        <v>10.3272112125</v>
      </c>
      <c r="AC116" s="209">
        <f t="shared" ca="1" si="4"/>
        <v>3.1875000000000001E-2</v>
      </c>
      <c r="AD116" s="118">
        <f t="shared" ca="1" si="5"/>
        <v>0</v>
      </c>
      <c r="AE116" s="118">
        <f t="shared" ca="1" si="6"/>
        <v>3.1875000000000001E-2</v>
      </c>
      <c r="AF116" s="118">
        <f t="shared" ca="1" si="7"/>
        <v>0.81963529411764691</v>
      </c>
      <c r="AG116" s="118">
        <f t="shared" ca="1" si="8"/>
        <v>1026.4565999999998</v>
      </c>
      <c r="AH116" s="204">
        <f t="shared" ca="1" si="11"/>
        <v>32.718304124999996</v>
      </c>
      <c r="AI116" s="259"/>
    </row>
    <row r="117" spans="11:35" x14ac:dyDescent="0.2">
      <c r="K117" s="146"/>
      <c r="L117" s="146"/>
      <c r="M117" s="265"/>
      <c r="N117" s="265"/>
      <c r="O117" s="265"/>
      <c r="P117" s="265"/>
      <c r="Q117" s="265"/>
      <c r="R117" s="117"/>
      <c r="S117" s="155"/>
      <c r="T117" s="238">
        <v>0.16</v>
      </c>
      <c r="U117" s="209">
        <f t="shared" ca="1" si="2"/>
        <v>103.95840000000003</v>
      </c>
      <c r="V117" s="118">
        <f t="shared" ca="1" si="9"/>
        <v>0.10485999999999999</v>
      </c>
      <c r="W117" s="204">
        <f t="shared" ca="1" si="12"/>
        <v>10.901077824000001</v>
      </c>
      <c r="Y117" s="209">
        <f t="shared" ca="1" si="3"/>
        <v>103.95840000000003</v>
      </c>
      <c r="Z117" s="118">
        <f t="shared" ca="1" si="10"/>
        <v>0.10485999999999999</v>
      </c>
      <c r="AA117" s="204">
        <f t="shared" ca="1" si="13"/>
        <v>10.901077824000001</v>
      </c>
      <c r="AC117" s="209">
        <f t="shared" ca="1" si="4"/>
        <v>3.4000000000000002E-2</v>
      </c>
      <c r="AD117" s="118">
        <f t="shared" ca="1" si="5"/>
        <v>0</v>
      </c>
      <c r="AE117" s="118">
        <f t="shared" ca="1" si="6"/>
        <v>3.4000000000000002E-2</v>
      </c>
      <c r="AF117" s="118">
        <f t="shared" ca="1" si="7"/>
        <v>0.80823529411764694</v>
      </c>
      <c r="AG117" s="118">
        <f t="shared" ca="1" si="8"/>
        <v>1012.1799999999998</v>
      </c>
      <c r="AH117" s="204">
        <f t="shared" ca="1" si="11"/>
        <v>34.414119999999997</v>
      </c>
      <c r="AI117" s="259"/>
    </row>
    <row r="118" spans="11:35" x14ac:dyDescent="0.2">
      <c r="K118" s="146"/>
      <c r="L118" s="146"/>
      <c r="M118" s="265"/>
      <c r="N118" s="265"/>
      <c r="O118" s="265"/>
      <c r="P118" s="265"/>
      <c r="Q118" s="265"/>
      <c r="R118" s="117"/>
      <c r="S118" s="155"/>
      <c r="T118" s="238">
        <v>0.17</v>
      </c>
      <c r="U118" s="209">
        <f t="shared" ca="1" si="2"/>
        <v>110.45580000000002</v>
      </c>
      <c r="V118" s="118">
        <f t="shared" ca="1" si="9"/>
        <v>0.10375749999999999</v>
      </c>
      <c r="W118" s="204">
        <f t="shared" ca="1" si="12"/>
        <v>11.460617668500001</v>
      </c>
      <c r="Y118" s="209">
        <f t="shared" ca="1" si="3"/>
        <v>110.45580000000002</v>
      </c>
      <c r="Z118" s="118">
        <f t="shared" ca="1" si="10"/>
        <v>0.10375749999999999</v>
      </c>
      <c r="AA118" s="204">
        <f t="shared" ca="1" si="13"/>
        <v>11.460617668500001</v>
      </c>
      <c r="AC118" s="209">
        <f t="shared" ca="1" si="4"/>
        <v>3.6125000000000004E-2</v>
      </c>
      <c r="AD118" s="118">
        <f t="shared" ca="1" si="5"/>
        <v>0</v>
      </c>
      <c r="AE118" s="118">
        <f t="shared" ca="1" si="6"/>
        <v>3.6125000000000004E-2</v>
      </c>
      <c r="AF118" s="118">
        <f t="shared" ca="1" si="7"/>
        <v>0.79683529411764686</v>
      </c>
      <c r="AG118" s="118">
        <f t="shared" ca="1" si="8"/>
        <v>997.90339999999981</v>
      </c>
      <c r="AH118" s="204">
        <f t="shared" ca="1" si="11"/>
        <v>36.049260324999999</v>
      </c>
      <c r="AI118" s="259"/>
    </row>
    <row r="119" spans="11:35" x14ac:dyDescent="0.2">
      <c r="K119" s="146"/>
      <c r="L119" s="146"/>
      <c r="M119" s="265"/>
      <c r="N119" s="265"/>
      <c r="O119" s="265"/>
      <c r="P119" s="265"/>
      <c r="Q119" s="265"/>
      <c r="R119" s="117"/>
      <c r="S119" s="155"/>
      <c r="T119" s="238">
        <v>0.18</v>
      </c>
      <c r="U119" s="209">
        <f t="shared" ca="1" si="2"/>
        <v>116.95320000000002</v>
      </c>
      <c r="V119" s="118">
        <f t="shared" ca="1" si="9"/>
        <v>0.102655</v>
      </c>
      <c r="W119" s="204">
        <f t="shared" ca="1" si="12"/>
        <v>12.005830746000003</v>
      </c>
      <c r="Y119" s="209">
        <f t="shared" ca="1" si="3"/>
        <v>116.95320000000002</v>
      </c>
      <c r="Z119" s="118">
        <f t="shared" ca="1" si="10"/>
        <v>0.102655</v>
      </c>
      <c r="AA119" s="204">
        <f t="shared" ca="1" si="13"/>
        <v>12.005830746000003</v>
      </c>
      <c r="AC119" s="209">
        <f t="shared" ca="1" si="4"/>
        <v>3.8249999999999999E-2</v>
      </c>
      <c r="AD119" s="118">
        <f t="shared" ca="1" si="5"/>
        <v>0</v>
      </c>
      <c r="AE119" s="118">
        <f t="shared" ca="1" si="6"/>
        <v>3.8249999999999999E-2</v>
      </c>
      <c r="AF119" s="118">
        <f t="shared" ca="1" si="7"/>
        <v>0.78543529411764701</v>
      </c>
      <c r="AG119" s="118">
        <f t="shared" ca="1" si="8"/>
        <v>983.6268</v>
      </c>
      <c r="AH119" s="204">
        <f t="shared" ca="1" si="11"/>
        <v>37.623725100000001</v>
      </c>
      <c r="AI119" s="259"/>
    </row>
    <row r="120" spans="11:35" x14ac:dyDescent="0.2">
      <c r="K120" s="146"/>
      <c r="L120" s="146"/>
      <c r="M120" s="265"/>
      <c r="N120" s="265"/>
      <c r="O120" s="265"/>
      <c r="P120" s="265"/>
      <c r="Q120" s="265"/>
      <c r="R120" s="117"/>
      <c r="S120" s="155"/>
      <c r="T120" s="238">
        <v>0.19</v>
      </c>
      <c r="U120" s="209">
        <f t="shared" ca="1" si="2"/>
        <v>123.45060000000002</v>
      </c>
      <c r="V120" s="118">
        <f t="shared" ca="1" si="9"/>
        <v>0.10155249999999999</v>
      </c>
      <c r="W120" s="204">
        <f t="shared" ca="1" si="12"/>
        <v>12.536717056500001</v>
      </c>
      <c r="Y120" s="209">
        <f t="shared" ca="1" si="3"/>
        <v>123.45060000000002</v>
      </c>
      <c r="Z120" s="118">
        <f t="shared" ca="1" si="10"/>
        <v>0.10155249999999999</v>
      </c>
      <c r="AA120" s="204">
        <f t="shared" ca="1" si="13"/>
        <v>12.536717056500001</v>
      </c>
      <c r="AC120" s="209">
        <f t="shared" ca="1" si="4"/>
        <v>4.0375000000000001E-2</v>
      </c>
      <c r="AD120" s="118">
        <f t="shared" ca="1" si="5"/>
        <v>0</v>
      </c>
      <c r="AE120" s="118">
        <f t="shared" ca="1" si="6"/>
        <v>4.0375000000000001E-2</v>
      </c>
      <c r="AF120" s="118">
        <f t="shared" ca="1" si="7"/>
        <v>0.77403529411764704</v>
      </c>
      <c r="AG120" s="118">
        <f t="shared" ca="1" si="8"/>
        <v>969.35020000000009</v>
      </c>
      <c r="AH120" s="204">
        <f t="shared" ca="1" si="11"/>
        <v>39.137514325000005</v>
      </c>
      <c r="AI120" s="259"/>
    </row>
    <row r="121" spans="11:35" x14ac:dyDescent="0.2">
      <c r="K121" s="146"/>
      <c r="L121" s="146"/>
      <c r="M121" s="265"/>
      <c r="N121" s="265"/>
      <c r="O121" s="265"/>
      <c r="P121" s="265"/>
      <c r="Q121" s="265"/>
      <c r="R121" s="117"/>
      <c r="S121" s="155"/>
      <c r="T121" s="238">
        <v>0.2</v>
      </c>
      <c r="U121" s="209">
        <f t="shared" ca="1" si="2"/>
        <v>129.94800000000004</v>
      </c>
      <c r="V121" s="118">
        <f t="shared" ca="1" si="9"/>
        <v>0.10044999999999998</v>
      </c>
      <c r="W121" s="204">
        <f t="shared" ca="1" si="12"/>
        <v>13.053276600000002</v>
      </c>
      <c r="Y121" s="209">
        <f t="shared" ca="1" si="3"/>
        <v>129.94800000000004</v>
      </c>
      <c r="Z121" s="118">
        <f t="shared" ca="1" si="10"/>
        <v>0.10044999999999998</v>
      </c>
      <c r="AA121" s="204">
        <f t="shared" ca="1" si="13"/>
        <v>13.053276600000002</v>
      </c>
      <c r="AC121" s="209">
        <f t="shared" ca="1" si="4"/>
        <v>4.2500000000000003E-2</v>
      </c>
      <c r="AD121" s="118">
        <f t="shared" ca="1" si="5"/>
        <v>0</v>
      </c>
      <c r="AE121" s="118">
        <f t="shared" ca="1" si="6"/>
        <v>4.2500000000000003E-2</v>
      </c>
      <c r="AF121" s="118">
        <f t="shared" ca="1" si="7"/>
        <v>0.76263529411764697</v>
      </c>
      <c r="AG121" s="118">
        <f t="shared" ca="1" si="8"/>
        <v>955.07359999999994</v>
      </c>
      <c r="AH121" s="204">
        <f t="shared" ca="1" si="11"/>
        <v>40.590628000000002</v>
      </c>
      <c r="AI121" s="259"/>
    </row>
    <row r="122" spans="11:35" x14ac:dyDescent="0.2">
      <c r="K122" s="146"/>
      <c r="L122" s="146"/>
      <c r="M122" s="265"/>
      <c r="N122" s="265"/>
      <c r="O122" s="265"/>
      <c r="P122" s="265"/>
      <c r="Q122" s="265"/>
      <c r="R122" s="117"/>
      <c r="S122" s="155"/>
      <c r="T122" s="238">
        <v>0.21</v>
      </c>
      <c r="U122" s="209">
        <f t="shared" ca="1" si="2"/>
        <v>136.44540000000003</v>
      </c>
      <c r="V122" s="118">
        <f t="shared" ca="1" si="9"/>
        <v>9.9347499999999991E-2</v>
      </c>
      <c r="W122" s="204">
        <f t="shared" ca="1" si="12"/>
        <v>13.555509376500002</v>
      </c>
      <c r="Y122" s="209">
        <f t="shared" ca="1" si="3"/>
        <v>136.44540000000003</v>
      </c>
      <c r="Z122" s="118">
        <f t="shared" ca="1" si="10"/>
        <v>9.9347499999999991E-2</v>
      </c>
      <c r="AA122" s="204">
        <f t="shared" ca="1" si="13"/>
        <v>13.555509376500002</v>
      </c>
      <c r="AC122" s="209">
        <f t="shared" ca="1" si="4"/>
        <v>4.4624999999999998E-2</v>
      </c>
      <c r="AD122" s="118">
        <f t="shared" ca="1" si="5"/>
        <v>0</v>
      </c>
      <c r="AE122" s="118">
        <f t="shared" ca="1" si="6"/>
        <v>4.4624999999999998E-2</v>
      </c>
      <c r="AF122" s="118">
        <f t="shared" ca="1" si="7"/>
        <v>0.751235294117647</v>
      </c>
      <c r="AG122" s="118">
        <f t="shared" ca="1" si="8"/>
        <v>940.79700000000003</v>
      </c>
      <c r="AH122" s="204">
        <f t="shared" ca="1" si="11"/>
        <v>41.983066125000001</v>
      </c>
      <c r="AI122" s="259"/>
    </row>
    <row r="123" spans="11:35" x14ac:dyDescent="0.2">
      <c r="K123" s="384" t="s">
        <v>567</v>
      </c>
      <c r="L123" s="382"/>
      <c r="M123" s="383"/>
      <c r="N123" s="383"/>
      <c r="O123" s="383"/>
      <c r="P123" s="383"/>
      <c r="Q123" s="383"/>
      <c r="R123" s="117"/>
      <c r="S123" s="155"/>
      <c r="T123" s="238">
        <v>0.22</v>
      </c>
      <c r="U123" s="209">
        <f t="shared" ca="1" si="2"/>
        <v>142.94280000000003</v>
      </c>
      <c r="V123" s="118">
        <f t="shared" ca="1" si="9"/>
        <v>9.8244999999999999E-2</v>
      </c>
      <c r="W123" s="204">
        <f t="shared" ca="1" si="12"/>
        <v>14.043415386000003</v>
      </c>
      <c r="Y123" s="209">
        <f t="shared" ca="1" si="3"/>
        <v>142.94280000000003</v>
      </c>
      <c r="Z123" s="118">
        <f t="shared" ca="1" si="10"/>
        <v>9.8244999999999999E-2</v>
      </c>
      <c r="AA123" s="204">
        <f t="shared" ca="1" si="13"/>
        <v>14.043415386000003</v>
      </c>
      <c r="AC123" s="209">
        <f t="shared" ca="1" si="4"/>
        <v>4.675E-2</v>
      </c>
      <c r="AD123" s="118">
        <f t="shared" ca="1" si="5"/>
        <v>0</v>
      </c>
      <c r="AE123" s="118">
        <f t="shared" ca="1" si="6"/>
        <v>4.675E-2</v>
      </c>
      <c r="AF123" s="118">
        <f t="shared" ca="1" si="7"/>
        <v>0.73983529411764704</v>
      </c>
      <c r="AG123" s="118">
        <f t="shared" ca="1" si="8"/>
        <v>926.52039999999988</v>
      </c>
      <c r="AH123" s="204">
        <f t="shared" ca="1" si="11"/>
        <v>43.314828699999993</v>
      </c>
      <c r="AI123" s="259"/>
    </row>
    <row r="124" spans="11:35" x14ac:dyDescent="0.2">
      <c r="K124" s="385" t="s">
        <v>589</v>
      </c>
      <c r="L124" s="146"/>
      <c r="M124" s="265"/>
      <c r="N124" s="265"/>
      <c r="O124" s="265"/>
      <c r="P124" s="265"/>
      <c r="Q124" s="265"/>
      <c r="R124" s="117"/>
      <c r="S124" s="155"/>
      <c r="T124" s="238">
        <v>0.23</v>
      </c>
      <c r="U124" s="209">
        <f t="shared" ca="1" si="2"/>
        <v>149.44020000000003</v>
      </c>
      <c r="V124" s="118">
        <f t="shared" ca="1" si="9"/>
        <v>9.7142499999999993E-2</v>
      </c>
      <c r="W124" s="204">
        <f t="shared" ca="1" si="12"/>
        <v>14.516994628500003</v>
      </c>
      <c r="Y124" s="209">
        <f t="shared" ca="1" si="3"/>
        <v>149.44020000000003</v>
      </c>
      <c r="Z124" s="118">
        <f t="shared" ca="1" si="10"/>
        <v>9.7142499999999993E-2</v>
      </c>
      <c r="AA124" s="204">
        <f t="shared" ca="1" si="13"/>
        <v>14.516994628500003</v>
      </c>
      <c r="AC124" s="209">
        <f t="shared" ca="1" si="4"/>
        <v>4.8875000000000002E-2</v>
      </c>
      <c r="AD124" s="118">
        <f t="shared" ca="1" si="5"/>
        <v>0</v>
      </c>
      <c r="AE124" s="118">
        <f t="shared" ca="1" si="6"/>
        <v>4.8875000000000002E-2</v>
      </c>
      <c r="AF124" s="118">
        <f t="shared" ca="1" si="7"/>
        <v>0.72843529411764696</v>
      </c>
      <c r="AG124" s="118">
        <f t="shared" ca="1" si="8"/>
        <v>912.24379999999985</v>
      </c>
      <c r="AH124" s="204">
        <f t="shared" ca="1" si="11"/>
        <v>44.585915724999992</v>
      </c>
      <c r="AI124" s="259"/>
    </row>
    <row r="125" spans="11:35" x14ac:dyDescent="0.2">
      <c r="K125" s="385" t="s">
        <v>571</v>
      </c>
      <c r="L125" s="146"/>
      <c r="M125" s="265"/>
      <c r="N125" s="265"/>
      <c r="O125" s="265"/>
      <c r="P125" s="265"/>
      <c r="Q125" s="265"/>
      <c r="R125" s="117"/>
      <c r="S125" s="155"/>
      <c r="T125" s="238">
        <v>0.24</v>
      </c>
      <c r="U125" s="209">
        <f t="shared" ca="1" si="2"/>
        <v>155.93760000000003</v>
      </c>
      <c r="V125" s="118">
        <f t="shared" ca="1" si="9"/>
        <v>9.6039999999999986E-2</v>
      </c>
      <c r="W125" s="204">
        <f t="shared" ca="1" si="12"/>
        <v>14.976247104</v>
      </c>
      <c r="Y125" s="209">
        <f t="shared" ca="1" si="3"/>
        <v>155.93760000000003</v>
      </c>
      <c r="Z125" s="118">
        <f t="shared" ca="1" si="10"/>
        <v>9.6039999999999986E-2</v>
      </c>
      <c r="AA125" s="204">
        <f t="shared" ca="1" si="13"/>
        <v>14.976247104</v>
      </c>
      <c r="AC125" s="209">
        <f t="shared" ca="1" si="4"/>
        <v>5.0999999999999997E-2</v>
      </c>
      <c r="AD125" s="118">
        <f t="shared" ca="1" si="5"/>
        <v>0</v>
      </c>
      <c r="AE125" s="118">
        <f t="shared" ca="1" si="6"/>
        <v>5.0999999999999997E-2</v>
      </c>
      <c r="AF125" s="118">
        <f t="shared" ca="1" si="7"/>
        <v>0.71703529411764699</v>
      </c>
      <c r="AG125" s="118">
        <f t="shared" ca="1" si="8"/>
        <v>897.96719999999993</v>
      </c>
      <c r="AH125" s="204">
        <f t="shared" ca="1" si="11"/>
        <v>45.796327199999993</v>
      </c>
      <c r="AI125" s="259"/>
    </row>
    <row r="126" spans="11:35" x14ac:dyDescent="0.2">
      <c r="K126" s="385" t="s">
        <v>572</v>
      </c>
      <c r="L126" s="146"/>
      <c r="M126" s="265"/>
      <c r="N126" s="265"/>
      <c r="O126" s="265"/>
      <c r="P126" s="265"/>
      <c r="Q126" s="265"/>
      <c r="R126" s="117"/>
      <c r="S126" s="155"/>
      <c r="T126" s="238">
        <v>0.25</v>
      </c>
      <c r="U126" s="209">
        <f t="shared" ca="1" si="2"/>
        <v>162.43500000000003</v>
      </c>
      <c r="V126" s="118">
        <f t="shared" ca="1" si="9"/>
        <v>9.4937499999999994E-2</v>
      </c>
      <c r="W126" s="204">
        <f t="shared" ca="1" si="12"/>
        <v>15.421172812500002</v>
      </c>
      <c r="Y126" s="209">
        <f t="shared" ca="1" si="3"/>
        <v>162.43500000000003</v>
      </c>
      <c r="Z126" s="118">
        <f t="shared" ca="1" si="10"/>
        <v>9.4937499999999994E-2</v>
      </c>
      <c r="AA126" s="204">
        <f t="shared" ca="1" si="13"/>
        <v>15.421172812500002</v>
      </c>
      <c r="AC126" s="209">
        <f t="shared" ca="1" si="4"/>
        <v>5.3124999999999999E-2</v>
      </c>
      <c r="AD126" s="118">
        <f t="shared" ca="1" si="5"/>
        <v>0</v>
      </c>
      <c r="AE126" s="118">
        <f t="shared" ca="1" si="6"/>
        <v>5.3124999999999999E-2</v>
      </c>
      <c r="AF126" s="118">
        <f t="shared" ca="1" si="7"/>
        <v>0.70563529411764703</v>
      </c>
      <c r="AG126" s="118">
        <f t="shared" ca="1" si="8"/>
        <v>883.6905999999999</v>
      </c>
      <c r="AH126" s="204">
        <f t="shared" ca="1" si="11"/>
        <v>46.946063124999995</v>
      </c>
      <c r="AI126" s="259"/>
    </row>
    <row r="127" spans="11:35" x14ac:dyDescent="0.2">
      <c r="K127" s="385" t="s">
        <v>573</v>
      </c>
      <c r="L127" s="146"/>
      <c r="M127" s="265"/>
      <c r="N127" s="265"/>
      <c r="O127" s="265"/>
      <c r="P127" s="265"/>
      <c r="Q127" s="265"/>
      <c r="R127" s="117"/>
      <c r="S127" s="155"/>
      <c r="T127" s="238">
        <v>0.26</v>
      </c>
      <c r="U127" s="209">
        <f t="shared" ca="1" si="2"/>
        <v>168.93240000000003</v>
      </c>
      <c r="V127" s="118">
        <f t="shared" ca="1" si="9"/>
        <v>9.3834999999999988E-2</v>
      </c>
      <c r="W127" s="204">
        <f t="shared" ca="1" si="12"/>
        <v>15.851771754000001</v>
      </c>
      <c r="Y127" s="209">
        <f t="shared" ca="1" si="3"/>
        <v>168.93240000000003</v>
      </c>
      <c r="Z127" s="118">
        <f t="shared" ca="1" si="10"/>
        <v>9.3834999999999988E-2</v>
      </c>
      <c r="AA127" s="204">
        <f t="shared" ca="1" si="13"/>
        <v>15.851771754000001</v>
      </c>
      <c r="AC127" s="209">
        <f t="shared" ca="1" si="4"/>
        <v>5.525E-2</v>
      </c>
      <c r="AD127" s="118">
        <f t="shared" ca="1" si="5"/>
        <v>0</v>
      </c>
      <c r="AE127" s="118">
        <f t="shared" ca="1" si="6"/>
        <v>5.525E-2</v>
      </c>
      <c r="AF127" s="118">
        <f t="shared" ca="1" si="7"/>
        <v>0.69423529411764695</v>
      </c>
      <c r="AG127" s="118">
        <f t="shared" ca="1" si="8"/>
        <v>869.41399999999976</v>
      </c>
      <c r="AH127" s="204">
        <f t="shared" ca="1" si="11"/>
        <v>48.03512349999999</v>
      </c>
      <c r="AI127" s="259"/>
    </row>
    <row r="128" spans="11:35" x14ac:dyDescent="0.2">
      <c r="K128" s="385" t="s">
        <v>583</v>
      </c>
      <c r="L128" s="146"/>
      <c r="M128" s="265"/>
      <c r="N128" s="265"/>
      <c r="O128" s="265"/>
      <c r="P128" s="265"/>
      <c r="Q128" s="265"/>
      <c r="R128" s="117"/>
      <c r="S128" s="155"/>
      <c r="T128" s="238">
        <v>0.27</v>
      </c>
      <c r="U128" s="209">
        <f t="shared" ca="1" si="2"/>
        <v>175.42980000000006</v>
      </c>
      <c r="V128" s="118">
        <f t="shared" ca="1" si="9"/>
        <v>9.2732499999999995E-2</v>
      </c>
      <c r="W128" s="204">
        <f t="shared" ca="1" si="12"/>
        <v>16.268043928500006</v>
      </c>
      <c r="Y128" s="209">
        <f t="shared" ca="1" si="3"/>
        <v>175.42980000000006</v>
      </c>
      <c r="Z128" s="118">
        <f t="shared" ca="1" si="10"/>
        <v>9.2732499999999995E-2</v>
      </c>
      <c r="AA128" s="204">
        <f t="shared" ca="1" si="13"/>
        <v>16.268043928500006</v>
      </c>
      <c r="AC128" s="209">
        <f t="shared" ca="1" si="4"/>
        <v>5.7375000000000002E-2</v>
      </c>
      <c r="AD128" s="118">
        <f t="shared" ca="1" si="5"/>
        <v>0</v>
      </c>
      <c r="AE128" s="118">
        <f t="shared" ca="1" si="6"/>
        <v>5.7375000000000002E-2</v>
      </c>
      <c r="AF128" s="118">
        <f t="shared" ca="1" si="7"/>
        <v>0.68283529411764698</v>
      </c>
      <c r="AG128" s="118">
        <f t="shared" ca="1" si="8"/>
        <v>855.13739999999984</v>
      </c>
      <c r="AH128" s="204">
        <f t="shared" ca="1" si="11"/>
        <v>49.063508324999994</v>
      </c>
      <c r="AI128" s="259"/>
    </row>
    <row r="129" spans="3:35" x14ac:dyDescent="0.2">
      <c r="G129" s="64" t="b">
        <v>0</v>
      </c>
      <c r="K129" s="304" t="s">
        <v>268</v>
      </c>
      <c r="L129" s="305" t="s">
        <v>547</v>
      </c>
      <c r="M129" s="306"/>
      <c r="N129" s="306"/>
      <c r="O129" s="306"/>
      <c r="P129" s="306"/>
      <c r="Q129" s="306"/>
      <c r="R129" s="117"/>
      <c r="S129" s="155"/>
      <c r="T129" s="238">
        <v>0.28000000000000003</v>
      </c>
      <c r="U129" s="209">
        <f t="shared" ca="1" si="2"/>
        <v>181.92720000000006</v>
      </c>
      <c r="V129" s="118">
        <f t="shared" ca="1" si="9"/>
        <v>9.1629999999999989E-2</v>
      </c>
      <c r="W129" s="204">
        <f t="shared" ca="1" si="12"/>
        <v>16.669989336000004</v>
      </c>
      <c r="Y129" s="209">
        <f t="shared" ca="1" si="3"/>
        <v>181.92720000000006</v>
      </c>
      <c r="Z129" s="118">
        <f t="shared" ca="1" si="10"/>
        <v>9.1629999999999989E-2</v>
      </c>
      <c r="AA129" s="204">
        <f t="shared" ca="1" si="13"/>
        <v>16.669989336000004</v>
      </c>
      <c r="AC129" s="209">
        <f t="shared" ca="1" si="4"/>
        <v>5.9500000000000004E-2</v>
      </c>
      <c r="AD129" s="118">
        <f t="shared" ca="1" si="5"/>
        <v>0</v>
      </c>
      <c r="AE129" s="118">
        <f t="shared" ca="1" si="6"/>
        <v>5.9500000000000004E-2</v>
      </c>
      <c r="AF129" s="118">
        <f t="shared" ca="1" si="7"/>
        <v>0.67143529411764691</v>
      </c>
      <c r="AG129" s="118">
        <f t="shared" ca="1" si="8"/>
        <v>840.8607999999997</v>
      </c>
      <c r="AH129" s="204">
        <f t="shared" ca="1" si="11"/>
        <v>50.031217599999984</v>
      </c>
      <c r="AI129" s="259"/>
    </row>
    <row r="130" spans="3:35" x14ac:dyDescent="0.2">
      <c r="K130" s="140" t="s">
        <v>269</v>
      </c>
      <c r="L130" s="140" t="str">
        <f ca="1">IF(rF1.CheckWoodenSlabCalc,rP2.OutputEccentricityWoodenSlab,"")</f>
        <v/>
      </c>
      <c r="M130" s="140"/>
      <c r="N130" s="140"/>
      <c r="O130" s="140"/>
      <c r="P130" s="140"/>
      <c r="Q130" s="141"/>
      <c r="R130" s="117"/>
      <c r="S130" s="155"/>
      <c r="T130" s="238">
        <v>0.28999999999999998</v>
      </c>
      <c r="U130" s="209">
        <f t="shared" ca="1" si="2"/>
        <v>188.42460000000003</v>
      </c>
      <c r="V130" s="118">
        <f t="shared" ca="1" si="9"/>
        <v>9.0527499999999997E-2</v>
      </c>
      <c r="W130" s="204">
        <f t="shared" ca="1" si="12"/>
        <v>17.057607976500002</v>
      </c>
      <c r="Y130" s="209">
        <f t="shared" ca="1" si="3"/>
        <v>188.42460000000003</v>
      </c>
      <c r="Z130" s="118">
        <f t="shared" ca="1" si="10"/>
        <v>9.0527499999999997E-2</v>
      </c>
      <c r="AA130" s="204">
        <f t="shared" ca="1" si="13"/>
        <v>17.057607976500002</v>
      </c>
      <c r="AC130" s="209">
        <f t="shared" ca="1" si="4"/>
        <v>6.1624999999999992E-2</v>
      </c>
      <c r="AD130" s="118">
        <f t="shared" ca="1" si="5"/>
        <v>0</v>
      </c>
      <c r="AE130" s="118">
        <f t="shared" ca="1" si="6"/>
        <v>6.1624999999999992E-2</v>
      </c>
      <c r="AF130" s="118">
        <f t="shared" ca="1" si="7"/>
        <v>0.66003529411764694</v>
      </c>
      <c r="AG130" s="118">
        <f t="shared" ca="1" si="8"/>
        <v>826.58419999999978</v>
      </c>
      <c r="AH130" s="204">
        <f t="shared" ca="1" si="11"/>
        <v>50.938251324999982</v>
      </c>
      <c r="AI130" s="259"/>
    </row>
    <row r="131" spans="3:35" x14ac:dyDescent="0.2">
      <c r="K131" s="142" t="s">
        <v>270</v>
      </c>
      <c r="L131" s="142"/>
      <c r="M131" s="143" t="s">
        <v>485</v>
      </c>
      <c r="N131" s="143" t="s">
        <v>212</v>
      </c>
      <c r="O131" s="143" t="s">
        <v>486</v>
      </c>
      <c r="P131" s="143"/>
      <c r="Q131" s="192"/>
      <c r="S131" s="155"/>
      <c r="T131" s="238">
        <v>0.3</v>
      </c>
      <c r="U131" s="209">
        <f t="shared" ca="1" si="2"/>
        <v>194.92200000000003</v>
      </c>
      <c r="V131" s="118">
        <f t="shared" ca="1" si="9"/>
        <v>8.9424999999999991E-2</v>
      </c>
      <c r="W131" s="204">
        <f t="shared" ca="1" si="12"/>
        <v>17.430899849999999</v>
      </c>
      <c r="Y131" s="209">
        <f t="shared" ca="1" si="3"/>
        <v>194.92200000000003</v>
      </c>
      <c r="Z131" s="118">
        <f t="shared" ca="1" si="10"/>
        <v>8.9424999999999991E-2</v>
      </c>
      <c r="AA131" s="204">
        <f t="shared" ca="1" si="13"/>
        <v>17.430899849999999</v>
      </c>
      <c r="AC131" s="209">
        <f t="shared" ca="1" si="4"/>
        <v>6.3750000000000001E-2</v>
      </c>
      <c r="AD131" s="118">
        <f t="shared" ca="1" si="5"/>
        <v>0</v>
      </c>
      <c r="AE131" s="118">
        <f t="shared" ca="1" si="6"/>
        <v>6.3750000000000001E-2</v>
      </c>
      <c r="AF131" s="118">
        <f t="shared" ca="1" si="7"/>
        <v>0.64863529411764698</v>
      </c>
      <c r="AG131" s="118">
        <f t="shared" ca="1" si="8"/>
        <v>812.30759999999987</v>
      </c>
      <c r="AH131" s="204">
        <f t="shared" ca="1" si="11"/>
        <v>51.784609499999995</v>
      </c>
      <c r="AI131" s="259"/>
    </row>
    <row r="132" spans="3:35" x14ac:dyDescent="0.2">
      <c r="C132" s="194"/>
      <c r="K132" s="146" t="s">
        <v>213</v>
      </c>
      <c r="L132" s="146"/>
      <c r="M132" s="307" t="str">
        <f ca="1">OFFSET(rL2.MainGroupsHead01,rF1.MainGroupSelection,0,1,1)</f>
        <v>Betonwand</v>
      </c>
      <c r="N132" s="307" t="str">
        <f ca="1">OFFSET(rL2.MainGroupsHead02,rF1.MainGroupSelection,0,1,1)</f>
        <v>MFH/Objektbau Mineralwolle verfüllt</v>
      </c>
      <c r="O132" s="307" t="str">
        <f ca="1">OFFSET(rL2.MainGroupsHead03,rF1.MainGroupSelection,0,1,1)</f>
        <v>MFH/Objektbau Mineralwolle verfüllt</v>
      </c>
      <c r="P132" s="146"/>
      <c r="Q132" s="146"/>
      <c r="S132" s="155"/>
      <c r="T132" s="238">
        <v>0.31</v>
      </c>
      <c r="U132" s="209">
        <f t="shared" ref="U132:U163" ca="1" si="14">IF(rF1.CheckWoodenSlabCalc,0,rF1.PlotAxForceFactor*rF1.PlotAxResistanceMaxTop)</f>
        <v>201.41940000000002</v>
      </c>
      <c r="V132" s="118">
        <f t="shared" ca="1" si="9"/>
        <v>8.8322499999999998E-2</v>
      </c>
      <c r="W132" s="204">
        <f t="shared" ca="1" si="12"/>
        <v>17.789864956500001</v>
      </c>
      <c r="Y132" s="209">
        <f t="shared" ref="Y132:Y163" ca="1" si="15">IF(rF1.CheckWoodenSlabCalc,0,rF1.PlotAxForceFactor*rF1.PlotAxResistanceMaxBottom)</f>
        <v>201.41940000000002</v>
      </c>
      <c r="Z132" s="118">
        <f t="shared" ca="1" si="10"/>
        <v>8.8322499999999998E-2</v>
      </c>
      <c r="AA132" s="204">
        <f t="shared" ca="1" si="13"/>
        <v>17.789864956500001</v>
      </c>
      <c r="AC132" s="209">
        <f t="shared" ca="1" si="4"/>
        <v>6.5875000000000003E-2</v>
      </c>
      <c r="AD132" s="118">
        <f t="shared" ca="1" si="5"/>
        <v>0</v>
      </c>
      <c r="AE132" s="118">
        <f t="shared" ca="1" si="6"/>
        <v>6.5875000000000003E-2</v>
      </c>
      <c r="AF132" s="118">
        <f t="shared" ref="AF132:AF163" ca="1" si="16">MIN(1.14*(1-2*rF1.PlotExcentricityTotalMiddle/rF1.WallThickness02)-0.024*rF1.WallHeightEffective/rF1.WallThickness02,1-2*rF1.PlotExcentricityTotalMiddle/rF1.WallThickness02)</f>
        <v>0.6372352941176469</v>
      </c>
      <c r="AG132" s="118">
        <f t="shared" ref="AG132:AG163" ca="1" si="17">IF(rF1.CheckWoodenSlabCalc,0,rF1.PlotReductionParameterMiddle*rF1.WallThickness02*rF1.ReductionMasonryStrenghtArea02*rF1.ReductionMasonryStrengthLongTerm*rF1.MasonryStrenghtChar02/rF1.SafetyFactorMaterial02*1000)</f>
        <v>798.03099999999984</v>
      </c>
      <c r="AH132" s="204">
        <f t="shared" ca="1" si="11"/>
        <v>52.570292124999995</v>
      </c>
      <c r="AI132" s="259"/>
    </row>
    <row r="133" spans="3:35" x14ac:dyDescent="0.2">
      <c r="C133" s="308">
        <v>0</v>
      </c>
      <c r="K133" s="266" t="s">
        <v>271</v>
      </c>
      <c r="L133" s="266"/>
      <c r="M133" s="309" t="str">
        <f ca="1">IF(rF1.CheckConcreteWall,"-",OFFSET(INDIRECT(rF1.BrickListNumber),MIN(rF1.BrickProductSelection*1,COUNTA(rF1.BrickList01)),rF1.ColumnPlacementFactor,1,1))</f>
        <v>-</v>
      </c>
      <c r="N133" s="309" t="str">
        <f ca="1">OFFSET(INDIRECT(rF1.BrickListNumber),MIN(rF1.BrickProductSelection*1,COUNTA(rF1.BrickList02)),rF1.ColumnPlacementFactor,1,1)</f>
        <v>S10-42,5-MW</v>
      </c>
      <c r="O133" s="309" t="str">
        <f ca="1">OFFSET(INDIRECT(rF1.BrickListNumber),MIN(rF1.BrickProductSelection*1,COUNTA(rF1.BrickList03)),rF1.ColumnPlacementFactor,1,1)</f>
        <v>S10-42,5-MW</v>
      </c>
      <c r="P133" s="266"/>
      <c r="Q133" s="266"/>
      <c r="S133" s="155"/>
      <c r="T133" s="238">
        <v>0.32</v>
      </c>
      <c r="U133" s="209">
        <f t="shared" ca="1" si="14"/>
        <v>207.91680000000005</v>
      </c>
      <c r="V133" s="118">
        <f t="shared" ref="V133:V164" ca="1" si="18">rF1.PlotWallThicknessNettoTop/2-rF1.PlotAxForceTop*rF1.SafetyFactorMaterial02/(1000*2*rF1.MasonryStrenghtChar02*rF1.ReductionMasonryStrenghtArea02*rF1.ReductionMasonryStrengthLongTerm)</f>
        <v>8.7219999999999992E-2</v>
      </c>
      <c r="W133" s="204">
        <f t="shared" ref="W133:W164" ca="1" si="19">rF1.PlotAxForceTop*rF1.PlotExcentricityTop</f>
        <v>18.134503296000002</v>
      </c>
      <c r="Y133" s="209">
        <f t="shared" ca="1" si="15"/>
        <v>207.91680000000005</v>
      </c>
      <c r="Z133" s="118">
        <f t="shared" ref="Z133:Z164" ca="1" si="20">rF1.PlotWallThicknessNettoBottom/2-rF1.PlotAxForceBottom*rF1.SafetyFactorMaterial02/(1000*2*rF1.MasonryStrenghtChar02*rF1.ReductionMasonryStrenghtArea02*rF1.ReductionMasonryStrengthLongTerm)</f>
        <v>8.7219999999999992E-2</v>
      </c>
      <c r="AA133" s="204">
        <f t="shared" ref="AA133:AA164" ca="1" si="21">rF1.PlotAxForceBottom*rF1.PlotExcentricityBottom</f>
        <v>18.134503296000002</v>
      </c>
      <c r="AC133" s="209">
        <f t="shared" ref="AC133:AC164" ca="1" si="22">rF1.PlotAxForceFactor*rF1.PlotExcentricityLoadMax</f>
        <v>6.8000000000000005E-2</v>
      </c>
      <c r="AD133" s="118">
        <f t="shared" ref="AD133:AD164" ca="1" si="23">IF(rF1.WallSlenderness02&lt;=rP1.MaxSlendernessCreepEcc,0,0.002*rP1.CreepCoefficient*rF1.WallHeightBuckling/rF1.WallHeight02*SQRT(rF1.WallHeight02*rF1.PlotExcentricityLoadMiddle))</f>
        <v>0</v>
      </c>
      <c r="AE133" s="118">
        <f t="shared" ref="AE133:AE164" ca="1" si="24">MAX(rF1.PlotExcentricityCreepMiddle+rF1.PlotExcentricityLoadMiddle,0.05*rF1.WallThickness02)</f>
        <v>6.8000000000000005E-2</v>
      </c>
      <c r="AF133" s="118">
        <f t="shared" ca="1" si="16"/>
        <v>0.62583529411764693</v>
      </c>
      <c r="AG133" s="118">
        <f t="shared" ca="1" si="17"/>
        <v>783.75439999999981</v>
      </c>
      <c r="AH133" s="204">
        <f t="shared" ref="AH133:AH164" ca="1" si="25">rF1.PlotExcentricityTotalMiddle*rF1.PlotAxForceMiddle</f>
        <v>53.295299199999988</v>
      </c>
      <c r="AI133" s="259"/>
    </row>
    <row r="134" spans="3:35" x14ac:dyDescent="0.2">
      <c r="C134" s="308">
        <v>7</v>
      </c>
      <c r="K134" s="146" t="s">
        <v>463</v>
      </c>
      <c r="L134" s="146"/>
      <c r="M134" s="310" t="str">
        <f ca="1">IF(rF1.CheckConcreteWall,OFFSET(rD3.Knoten,MIN(rF1.ConcreteFillSelection*1,COUNTA(rF1.ConcreteFillList01)),0,1,1),IF(rF1.CheckFoundation=1,"-",OFFSET(INDIRECT(rF1.BrickListNumber),MIN(rF1.BrickProductSelection*1,COUNTA(rF1.BrickList01)),rF1.ColumnPlacementFactor,1,1)))</f>
        <v>C20/25</v>
      </c>
      <c r="N134" s="310">
        <f ca="1">OFFSET(INDIRECT(rF1.BrickListNumber),MIN(rF1.BrickProductSelection*1,COUNTA(rF1.BrickList02)),rF1.ColumnPlacementFactor,1,1)</f>
        <v>12</v>
      </c>
      <c r="O134" s="310">
        <f ca="1">OFFSET(INDIRECT(rF1.BrickListNumber),MIN(rF1.BrickProductSelection*1,COUNTA(rF1.BrickList03)),rF1.ColumnPlacementFactor,1,1)</f>
        <v>12</v>
      </c>
      <c r="P134" s="146"/>
      <c r="Q134" s="146"/>
      <c r="R134" s="402"/>
      <c r="S134" s="155"/>
      <c r="T134" s="238">
        <v>0.33</v>
      </c>
      <c r="U134" s="209">
        <f t="shared" ca="1" si="14"/>
        <v>214.41420000000005</v>
      </c>
      <c r="V134" s="118">
        <f t="shared" ca="1" si="18"/>
        <v>8.6117499999999986E-2</v>
      </c>
      <c r="W134" s="204">
        <f t="shared" ca="1" si="19"/>
        <v>18.4648148685</v>
      </c>
      <c r="Y134" s="209">
        <f t="shared" ca="1" si="15"/>
        <v>214.41420000000005</v>
      </c>
      <c r="Z134" s="118">
        <f t="shared" ca="1" si="20"/>
        <v>8.6117499999999986E-2</v>
      </c>
      <c r="AA134" s="204">
        <f t="shared" ca="1" si="21"/>
        <v>18.4648148685</v>
      </c>
      <c r="AC134" s="209">
        <f t="shared" ca="1" si="22"/>
        <v>7.0125000000000007E-2</v>
      </c>
      <c r="AD134" s="118">
        <f t="shared" ca="1" si="23"/>
        <v>0</v>
      </c>
      <c r="AE134" s="118">
        <f t="shared" ca="1" si="24"/>
        <v>7.0125000000000007E-2</v>
      </c>
      <c r="AF134" s="118">
        <f t="shared" ca="1" si="16"/>
        <v>0.61443529411764686</v>
      </c>
      <c r="AG134" s="118">
        <f t="shared" ca="1" si="17"/>
        <v>769.47779999999977</v>
      </c>
      <c r="AH134" s="204">
        <f t="shared" ca="1" si="25"/>
        <v>53.95963072499999</v>
      </c>
      <c r="AI134" s="259"/>
    </row>
    <row r="135" spans="3:35" x14ac:dyDescent="0.2">
      <c r="C135" s="308">
        <v>6</v>
      </c>
      <c r="K135" s="311" t="s">
        <v>464</v>
      </c>
      <c r="L135" s="266"/>
      <c r="M135" s="312" t="str">
        <f ca="1">IF(rF1.CheckConcreteWall,"-",OFFSET(INDIRECT(rF1.BrickListNumber),MIN(rF1.BrickProductSelection*1,COUNTA(rF1.BrickList01)),rF1.ColumnPlacementFactor,1,1))</f>
        <v>-</v>
      </c>
      <c r="N135" s="312">
        <f ca="1">OFFSET(INDIRECT(rF1.BrickListNumber),MIN(rF1.BrickProductSelection*1,COUNTA(rF1.BrickList02)),rF1.ColumnPlacementFactor,1,1)</f>
        <v>0.8</v>
      </c>
      <c r="O135" s="312">
        <f ca="1">OFFSET(INDIRECT(rF1.BrickListNumber),MIN(rF1.BrickProductSelection*1,COUNTA(rF1.BrickList03)),rF1.ColumnPlacementFactor,1,1)</f>
        <v>0.8</v>
      </c>
      <c r="P135" s="266"/>
      <c r="Q135" s="266"/>
      <c r="R135" s="402"/>
      <c r="S135" s="155"/>
      <c r="T135" s="238">
        <v>0.34</v>
      </c>
      <c r="U135" s="209">
        <f t="shared" ca="1" si="14"/>
        <v>220.91160000000005</v>
      </c>
      <c r="V135" s="118">
        <f t="shared" ca="1" si="18"/>
        <v>8.5014999999999979E-2</v>
      </c>
      <c r="W135" s="204">
        <f t="shared" ca="1" si="19"/>
        <v>18.780799674000001</v>
      </c>
      <c r="Y135" s="209">
        <f t="shared" ca="1" si="15"/>
        <v>220.91160000000005</v>
      </c>
      <c r="Z135" s="118">
        <f t="shared" ca="1" si="20"/>
        <v>8.5014999999999979E-2</v>
      </c>
      <c r="AA135" s="204">
        <f t="shared" ca="1" si="21"/>
        <v>18.780799674000001</v>
      </c>
      <c r="AC135" s="209">
        <f t="shared" ca="1" si="22"/>
        <v>7.2250000000000009E-2</v>
      </c>
      <c r="AD135" s="118">
        <f t="shared" ca="1" si="23"/>
        <v>0</v>
      </c>
      <c r="AE135" s="118">
        <f t="shared" ca="1" si="24"/>
        <v>7.2250000000000009E-2</v>
      </c>
      <c r="AF135" s="118">
        <f t="shared" ca="1" si="16"/>
        <v>0.60303529411764689</v>
      </c>
      <c r="AG135" s="118">
        <f t="shared" ca="1" si="17"/>
        <v>755.20119999999963</v>
      </c>
      <c r="AH135" s="204">
        <f t="shared" ca="1" si="25"/>
        <v>54.563286699999978</v>
      </c>
      <c r="AI135" s="259"/>
    </row>
    <row r="136" spans="3:35" x14ac:dyDescent="0.2">
      <c r="C136" s="313">
        <v>22</v>
      </c>
      <c r="K136" s="170" t="s">
        <v>508</v>
      </c>
      <c r="L136" s="146"/>
      <c r="M136" s="314" t="str">
        <f ca="1">IF(rF1.CheckConcreteWall,"-",OFFSET(INDIRECT(rF1.BrickListNumber),MIN(rF1.BrickProductSelection*1,COUNTA(rF1.BrickList01)),rF1.ColumnPlacementFactor,1,1))</f>
        <v>-</v>
      </c>
      <c r="N136" s="314">
        <f ca="1">OFFSET(INDIRECT(rF1.BrickListNumber),MIN(rF1.BrickProductSelection*1,COUNTA(rF1.BrickList02)),rF1.ColumnPlacementFactor,1,1)</f>
        <v>35</v>
      </c>
      <c r="O136" s="314">
        <f ca="1">OFFSET(INDIRECT(rF1.BrickListNumber),MIN(rF1.BrickProductSelection*1,COUNTA(rF1.BrickList03)),rF1.ColumnPlacementFactor,1,1)</f>
        <v>35</v>
      </c>
      <c r="P136" s="146"/>
      <c r="Q136" s="146"/>
      <c r="R136" s="402"/>
      <c r="S136" s="155"/>
      <c r="T136" s="238">
        <v>0.35</v>
      </c>
      <c r="U136" s="209">
        <f t="shared" ca="1" si="14"/>
        <v>227.40900000000002</v>
      </c>
      <c r="V136" s="118">
        <f t="shared" ca="1" si="18"/>
        <v>8.3912500000000001E-2</v>
      </c>
      <c r="W136" s="204">
        <f t="shared" ca="1" si="19"/>
        <v>19.082457712500002</v>
      </c>
      <c r="Y136" s="209">
        <f t="shared" ca="1" si="15"/>
        <v>227.40900000000002</v>
      </c>
      <c r="Z136" s="118">
        <f t="shared" ca="1" si="20"/>
        <v>8.3912500000000001E-2</v>
      </c>
      <c r="AA136" s="204">
        <f t="shared" ca="1" si="21"/>
        <v>19.082457712500002</v>
      </c>
      <c r="AC136" s="209">
        <f t="shared" ca="1" si="22"/>
        <v>7.4374999999999997E-2</v>
      </c>
      <c r="AD136" s="118">
        <f t="shared" ca="1" si="23"/>
        <v>0</v>
      </c>
      <c r="AE136" s="118">
        <f t="shared" ca="1" si="24"/>
        <v>7.4374999999999997E-2</v>
      </c>
      <c r="AF136" s="118">
        <f t="shared" ca="1" si="16"/>
        <v>0.59163529411764704</v>
      </c>
      <c r="AG136" s="118">
        <f t="shared" ca="1" si="17"/>
        <v>740.92459999999994</v>
      </c>
      <c r="AH136" s="204">
        <f t="shared" ca="1" si="25"/>
        <v>55.106267124999995</v>
      </c>
      <c r="AI136" s="259"/>
    </row>
    <row r="137" spans="3:35" x14ac:dyDescent="0.2">
      <c r="K137" s="142" t="s">
        <v>272</v>
      </c>
      <c r="L137" s="142"/>
      <c r="M137" s="143"/>
      <c r="N137" s="143"/>
      <c r="O137" s="143"/>
      <c r="P137" s="143"/>
      <c r="Q137" s="192"/>
      <c r="R137" s="402"/>
      <c r="S137" s="155"/>
      <c r="T137" s="238">
        <v>0.36</v>
      </c>
      <c r="U137" s="209">
        <f t="shared" ca="1" si="14"/>
        <v>233.90640000000005</v>
      </c>
      <c r="V137" s="118">
        <f t="shared" ca="1" si="18"/>
        <v>8.2809999999999995E-2</v>
      </c>
      <c r="W137" s="204">
        <f t="shared" ca="1" si="19"/>
        <v>19.369788984000003</v>
      </c>
      <c r="Y137" s="209">
        <f t="shared" ca="1" si="15"/>
        <v>233.90640000000005</v>
      </c>
      <c r="Z137" s="118">
        <f t="shared" ca="1" si="20"/>
        <v>8.2809999999999995E-2</v>
      </c>
      <c r="AA137" s="204">
        <f t="shared" ca="1" si="21"/>
        <v>19.369788984000003</v>
      </c>
      <c r="AC137" s="209">
        <f t="shared" ca="1" si="22"/>
        <v>7.6499999999999999E-2</v>
      </c>
      <c r="AD137" s="118">
        <f t="shared" ca="1" si="23"/>
        <v>0</v>
      </c>
      <c r="AE137" s="118">
        <f t="shared" ca="1" si="24"/>
        <v>7.6499999999999999E-2</v>
      </c>
      <c r="AF137" s="118">
        <f t="shared" ca="1" si="16"/>
        <v>0.58023529411764696</v>
      </c>
      <c r="AG137" s="118">
        <f t="shared" ca="1" si="17"/>
        <v>726.64799999999991</v>
      </c>
      <c r="AH137" s="204">
        <f t="shared" ca="1" si="25"/>
        <v>55.588571999999992</v>
      </c>
      <c r="AI137" s="259"/>
    </row>
    <row r="138" spans="3:35" x14ac:dyDescent="0.2">
      <c r="C138" s="194"/>
      <c r="K138" s="170" t="s">
        <v>273</v>
      </c>
      <c r="L138" s="146"/>
      <c r="M138" s="315"/>
      <c r="N138" s="315">
        <f ca="1">IF(rF1.WallArea&lt;rP1.MaxWallAreaReduction,IF(rF1.PerforationFactor&lt;rP1.MaxPerfFactorReduction,0.7+3*rF1.WallArea,rP1.ReductionMasonryStrengthArea),1)</f>
        <v>1</v>
      </c>
      <c r="O138" s="315"/>
      <c r="P138" s="146"/>
      <c r="Q138" s="146"/>
      <c r="R138" s="402"/>
      <c r="S138" s="155"/>
      <c r="T138" s="238">
        <v>0.37</v>
      </c>
      <c r="U138" s="209">
        <f t="shared" ca="1" si="14"/>
        <v>240.40380000000005</v>
      </c>
      <c r="V138" s="118">
        <f t="shared" ca="1" si="18"/>
        <v>8.1707499999999988E-2</v>
      </c>
      <c r="W138" s="204">
        <f t="shared" ca="1" si="19"/>
        <v>19.642793488500001</v>
      </c>
      <c r="Y138" s="209">
        <f t="shared" ca="1" si="15"/>
        <v>240.40380000000005</v>
      </c>
      <c r="Z138" s="118">
        <f t="shared" ca="1" si="20"/>
        <v>8.1707499999999988E-2</v>
      </c>
      <c r="AA138" s="204">
        <f t="shared" ca="1" si="21"/>
        <v>19.642793488500001</v>
      </c>
      <c r="AC138" s="209">
        <f t="shared" ca="1" si="22"/>
        <v>7.8625E-2</v>
      </c>
      <c r="AD138" s="118">
        <f t="shared" ca="1" si="23"/>
        <v>0</v>
      </c>
      <c r="AE138" s="118">
        <f t="shared" ca="1" si="24"/>
        <v>7.8625E-2</v>
      </c>
      <c r="AF138" s="118">
        <f t="shared" ca="1" si="16"/>
        <v>0.56883529411764699</v>
      </c>
      <c r="AG138" s="118">
        <f t="shared" ca="1" si="17"/>
        <v>712.37139999999988</v>
      </c>
      <c r="AH138" s="204">
        <f t="shared" ca="1" si="25"/>
        <v>56.01020132499999</v>
      </c>
      <c r="AI138" s="259"/>
    </row>
    <row r="139" spans="3:35" x14ac:dyDescent="0.2">
      <c r="C139" s="308"/>
      <c r="K139" s="311" t="s">
        <v>382</v>
      </c>
      <c r="L139" s="316" t="s">
        <v>383</v>
      </c>
      <c r="M139" s="317"/>
      <c r="N139" s="317">
        <f>rP2.LongTermFactor</f>
        <v>0.85</v>
      </c>
      <c r="O139" s="317"/>
      <c r="P139" s="266"/>
      <c r="Q139" s="266"/>
      <c r="S139" s="155"/>
      <c r="T139" s="238">
        <v>0.38</v>
      </c>
      <c r="U139" s="209">
        <f t="shared" ca="1" si="14"/>
        <v>246.90120000000005</v>
      </c>
      <c r="V139" s="118">
        <f t="shared" ca="1" si="18"/>
        <v>8.0604999999999982E-2</v>
      </c>
      <c r="W139" s="204">
        <f t="shared" ca="1" si="19"/>
        <v>19.901471225999998</v>
      </c>
      <c r="Y139" s="209">
        <f t="shared" ca="1" si="15"/>
        <v>246.90120000000005</v>
      </c>
      <c r="Z139" s="118">
        <f t="shared" ca="1" si="20"/>
        <v>8.0604999999999982E-2</v>
      </c>
      <c r="AA139" s="204">
        <f t="shared" ca="1" si="21"/>
        <v>19.901471225999998</v>
      </c>
      <c r="AC139" s="209">
        <f t="shared" ca="1" si="22"/>
        <v>8.0750000000000002E-2</v>
      </c>
      <c r="AD139" s="118">
        <f t="shared" ca="1" si="23"/>
        <v>0</v>
      </c>
      <c r="AE139" s="118">
        <f t="shared" ca="1" si="24"/>
        <v>8.0750000000000002E-2</v>
      </c>
      <c r="AF139" s="118">
        <f t="shared" ca="1" si="16"/>
        <v>0.55743529411764703</v>
      </c>
      <c r="AG139" s="118">
        <f t="shared" ca="1" si="17"/>
        <v>698.09479999999985</v>
      </c>
      <c r="AH139" s="204">
        <f t="shared" ca="1" si="25"/>
        <v>56.371155099999989</v>
      </c>
      <c r="AI139" s="259"/>
    </row>
    <row r="140" spans="3:35" ht="15.75" x14ac:dyDescent="0.2">
      <c r="C140" s="308">
        <v>8</v>
      </c>
      <c r="K140" s="170" t="s">
        <v>215</v>
      </c>
      <c r="L140" s="146" t="s">
        <v>43</v>
      </c>
      <c r="M140" s="295" t="str">
        <f ca="1">IF(rF1.CheckConcreteWall,"-",OFFSET(INDIRECT(rF1.BrickListNumber),MIN(rF1.BrickProductSelection*1,COUNTA(rF1.BrickList01)),rF1.ColumnPlacementFactor,1,1))</f>
        <v>-</v>
      </c>
      <c r="N140" s="295">
        <f ca="1">OFFSET(INDIRECT(rF1.BrickListNumber),MIN(rF1.BrickProductSelection*1,COUNTA(rF1.BrickList02)),rF1.ColumnPlacementFactor,1,1)</f>
        <v>5.2</v>
      </c>
      <c r="O140" s="295">
        <f ca="1">OFFSET(INDIRECT(rF1.BrickListNumber),MIN(rF1.BrickProductSelection*1,COUNTA(rF1.BrickList03)),rF1.ColumnPlacementFactor,1,1)</f>
        <v>5.2</v>
      </c>
      <c r="P140" s="146"/>
      <c r="Q140" s="146"/>
      <c r="R140" s="402"/>
      <c r="S140" s="155"/>
      <c r="T140" s="238">
        <v>0.39</v>
      </c>
      <c r="U140" s="209">
        <f t="shared" ca="1" si="14"/>
        <v>253.39860000000004</v>
      </c>
      <c r="V140" s="118">
        <f t="shared" ca="1" si="18"/>
        <v>7.950249999999999E-2</v>
      </c>
      <c r="W140" s="204">
        <f t="shared" ca="1" si="19"/>
        <v>20.145822196499999</v>
      </c>
      <c r="Y140" s="209">
        <f t="shared" ca="1" si="15"/>
        <v>253.39860000000004</v>
      </c>
      <c r="Z140" s="118">
        <f t="shared" ca="1" si="20"/>
        <v>7.950249999999999E-2</v>
      </c>
      <c r="AA140" s="204">
        <f t="shared" ca="1" si="21"/>
        <v>20.145822196499999</v>
      </c>
      <c r="AC140" s="209">
        <f t="shared" ca="1" si="22"/>
        <v>8.2875000000000004E-2</v>
      </c>
      <c r="AD140" s="118">
        <f t="shared" ca="1" si="23"/>
        <v>0</v>
      </c>
      <c r="AE140" s="118">
        <f t="shared" ca="1" si="24"/>
        <v>8.2875000000000004E-2</v>
      </c>
      <c r="AF140" s="118">
        <f t="shared" ca="1" si="16"/>
        <v>0.54603529411764695</v>
      </c>
      <c r="AG140" s="118">
        <f t="shared" ca="1" si="17"/>
        <v>683.81819999999982</v>
      </c>
      <c r="AH140" s="204">
        <f t="shared" ca="1" si="25"/>
        <v>56.671433324999988</v>
      </c>
      <c r="AI140" s="259"/>
    </row>
    <row r="141" spans="3:35" ht="15.75" x14ac:dyDescent="0.2">
      <c r="C141" s="313"/>
      <c r="K141" s="311" t="s">
        <v>274</v>
      </c>
      <c r="L141" s="266" t="s">
        <v>78</v>
      </c>
      <c r="M141" s="317"/>
      <c r="N141" s="317">
        <f ca="1">OFFSET(rD4.Knoten05,rF1.DesignSitSelection,1,1,1)</f>
        <v>1.5</v>
      </c>
      <c r="O141" s="317"/>
      <c r="P141" s="266"/>
      <c r="Q141" s="266"/>
      <c r="R141" s="402"/>
      <c r="S141" s="155"/>
      <c r="T141" s="238">
        <v>0.4</v>
      </c>
      <c r="U141" s="209">
        <f t="shared" ca="1" si="14"/>
        <v>259.89600000000007</v>
      </c>
      <c r="V141" s="118">
        <f t="shared" ca="1" si="18"/>
        <v>7.8399999999999984E-2</v>
      </c>
      <c r="W141" s="204">
        <f t="shared" ca="1" si="19"/>
        <v>20.3758464</v>
      </c>
      <c r="Y141" s="209">
        <f t="shared" ca="1" si="15"/>
        <v>259.89600000000007</v>
      </c>
      <c r="Z141" s="118">
        <f t="shared" ca="1" si="20"/>
        <v>7.8399999999999984E-2</v>
      </c>
      <c r="AA141" s="204">
        <f t="shared" ca="1" si="21"/>
        <v>20.3758464</v>
      </c>
      <c r="AC141" s="209">
        <f t="shared" ca="1" si="22"/>
        <v>8.5000000000000006E-2</v>
      </c>
      <c r="AD141" s="118">
        <f t="shared" ca="1" si="23"/>
        <v>0</v>
      </c>
      <c r="AE141" s="118">
        <f t="shared" ca="1" si="24"/>
        <v>8.5000000000000006E-2</v>
      </c>
      <c r="AF141" s="118">
        <f t="shared" ca="1" si="16"/>
        <v>0.53463529411764699</v>
      </c>
      <c r="AG141" s="118">
        <f t="shared" ca="1" si="17"/>
        <v>669.54159999999979</v>
      </c>
      <c r="AH141" s="204">
        <f t="shared" ca="1" si="25"/>
        <v>56.911035999999989</v>
      </c>
      <c r="AI141" s="259"/>
    </row>
    <row r="142" spans="3:35" x14ac:dyDescent="0.2">
      <c r="K142" s="142" t="s">
        <v>275</v>
      </c>
      <c r="L142" s="142"/>
      <c r="M142" s="143"/>
      <c r="N142" s="143"/>
      <c r="O142" s="143"/>
      <c r="P142" s="143"/>
      <c r="Q142" s="192"/>
      <c r="R142" s="402"/>
      <c r="S142" s="155"/>
      <c r="T142" s="238">
        <v>0.41</v>
      </c>
      <c r="U142" s="209">
        <f t="shared" ca="1" si="14"/>
        <v>266.39340000000004</v>
      </c>
      <c r="V142" s="118">
        <f t="shared" ca="1" si="18"/>
        <v>7.7297499999999991E-2</v>
      </c>
      <c r="W142" s="204">
        <f t="shared" ca="1" si="19"/>
        <v>20.591543836500001</v>
      </c>
      <c r="Y142" s="209">
        <f t="shared" ca="1" si="15"/>
        <v>266.39340000000004</v>
      </c>
      <c r="Z142" s="118">
        <f t="shared" ca="1" si="20"/>
        <v>7.7297499999999991E-2</v>
      </c>
      <c r="AA142" s="204">
        <f t="shared" ca="1" si="21"/>
        <v>20.591543836500001</v>
      </c>
      <c r="AC142" s="209">
        <f t="shared" ca="1" si="22"/>
        <v>8.7124999999999994E-2</v>
      </c>
      <c r="AD142" s="118">
        <f t="shared" ca="1" si="23"/>
        <v>0</v>
      </c>
      <c r="AE142" s="118">
        <f t="shared" ca="1" si="24"/>
        <v>8.7124999999999994E-2</v>
      </c>
      <c r="AF142" s="118">
        <f t="shared" ca="1" si="16"/>
        <v>0.52323529411764713</v>
      </c>
      <c r="AG142" s="118">
        <f t="shared" ca="1" si="17"/>
        <v>655.2650000000001</v>
      </c>
      <c r="AH142" s="204">
        <f t="shared" ca="1" si="25"/>
        <v>57.089963125000004</v>
      </c>
      <c r="AI142" s="259"/>
    </row>
    <row r="143" spans="3:35" x14ac:dyDescent="0.2">
      <c r="C143" s="194">
        <v>3</v>
      </c>
      <c r="K143" s="146" t="s">
        <v>216</v>
      </c>
      <c r="L143" s="146" t="s">
        <v>42</v>
      </c>
      <c r="M143" s="318">
        <f ca="1">IF(rF1.CheckFoundation,rF1.PlotFoundationWidth,IF(rF1.CheckConcreteWall,OFFSET(rL4.ConcWallThicknessHead,MIN(rF1.BrickProductSelection*1,COUNTA(rF1.BrickList01)),0,1,1),OFFSET(INDIRECT(rF1.BrickListNumber),MIN(rF1.BrickProductSelection*1,COUNTA(rF1.BrickList01)),rF1.ColumnPlacementFactor,1,1)/100))</f>
        <v>0.25</v>
      </c>
      <c r="N143" s="318">
        <f ca="1">OFFSET(INDIRECT(rF1.BrickListNumber),MIN(rF1.BrickProductSelection*1,COUNTA(rF1.BrickList02)),rF1.ColumnPlacementFactor,1,1)/100</f>
        <v>0.42499999999999999</v>
      </c>
      <c r="O143" s="318">
        <f ca="1">IF(rF1.CheckWallNotExisting=1,0,OFFSET(INDIRECT(rF1.BrickListNumber),MIN(rF1.BrickProductSelection*1,COUNTA(rF1.BrickList03)),rF1.ColumnPlacementFactor,1,1)/100)</f>
        <v>0.42499999999999999</v>
      </c>
      <c r="P143" s="319"/>
      <c r="Q143" s="319"/>
      <c r="R143" s="402"/>
      <c r="S143" s="155"/>
      <c r="T143" s="238">
        <v>0.42</v>
      </c>
      <c r="U143" s="209">
        <f t="shared" ca="1" si="14"/>
        <v>272.89080000000007</v>
      </c>
      <c r="V143" s="118">
        <f t="shared" ca="1" si="18"/>
        <v>7.6194999999999985E-2</v>
      </c>
      <c r="W143" s="204">
        <f t="shared" ca="1" si="19"/>
        <v>20.792914506000002</v>
      </c>
      <c r="Y143" s="209">
        <f t="shared" ca="1" si="15"/>
        <v>272.89080000000007</v>
      </c>
      <c r="Z143" s="118">
        <f t="shared" ca="1" si="20"/>
        <v>7.6194999999999985E-2</v>
      </c>
      <c r="AA143" s="204">
        <f t="shared" ca="1" si="21"/>
        <v>20.792914506000002</v>
      </c>
      <c r="AC143" s="209">
        <f t="shared" ca="1" si="22"/>
        <v>8.9249999999999996E-2</v>
      </c>
      <c r="AD143" s="118">
        <f t="shared" ca="1" si="23"/>
        <v>0</v>
      </c>
      <c r="AE143" s="118">
        <f t="shared" ca="1" si="24"/>
        <v>8.9249999999999996E-2</v>
      </c>
      <c r="AF143" s="118">
        <f t="shared" ca="1" si="16"/>
        <v>0.51183529411764705</v>
      </c>
      <c r="AG143" s="118">
        <f t="shared" ca="1" si="17"/>
        <v>640.98840000000007</v>
      </c>
      <c r="AH143" s="204">
        <f t="shared" ca="1" si="25"/>
        <v>57.208214700000006</v>
      </c>
      <c r="AI143" s="259"/>
    </row>
    <row r="144" spans="3:35" x14ac:dyDescent="0.2">
      <c r="C144" s="308"/>
      <c r="K144" s="266" t="s">
        <v>217</v>
      </c>
      <c r="L144" s="266" t="s">
        <v>2</v>
      </c>
      <c r="M144" s="320">
        <f>rF1.WallHeight</f>
        <v>2.5</v>
      </c>
      <c r="N144" s="320">
        <f>rF1.WallHeight</f>
        <v>2.645</v>
      </c>
      <c r="O144" s="320">
        <f>rF1.WallHeight</f>
        <v>2.645</v>
      </c>
      <c r="P144" s="309"/>
      <c r="Q144" s="309"/>
      <c r="S144" s="155"/>
      <c r="T144" s="238">
        <v>0.43</v>
      </c>
      <c r="U144" s="209">
        <f t="shared" ca="1" si="14"/>
        <v>279.38820000000004</v>
      </c>
      <c r="V144" s="118">
        <f t="shared" ca="1" si="18"/>
        <v>7.5092499999999993E-2</v>
      </c>
      <c r="W144" s="204">
        <f t="shared" ca="1" si="19"/>
        <v>20.9799584085</v>
      </c>
      <c r="Y144" s="209">
        <f t="shared" ca="1" si="15"/>
        <v>279.38820000000004</v>
      </c>
      <c r="Z144" s="118">
        <f t="shared" ca="1" si="20"/>
        <v>7.5092499999999993E-2</v>
      </c>
      <c r="AA144" s="204">
        <f t="shared" ca="1" si="21"/>
        <v>20.9799584085</v>
      </c>
      <c r="AC144" s="209">
        <f t="shared" ca="1" si="22"/>
        <v>9.1374999999999998E-2</v>
      </c>
      <c r="AD144" s="118">
        <f t="shared" ca="1" si="23"/>
        <v>0</v>
      </c>
      <c r="AE144" s="118">
        <f t="shared" ca="1" si="24"/>
        <v>9.1374999999999998E-2</v>
      </c>
      <c r="AF144" s="118">
        <f t="shared" ca="1" si="16"/>
        <v>0.50043529411764709</v>
      </c>
      <c r="AG144" s="118">
        <f t="shared" ca="1" si="17"/>
        <v>626.71180000000004</v>
      </c>
      <c r="AH144" s="204">
        <f t="shared" ca="1" si="25"/>
        <v>57.265790725000002</v>
      </c>
      <c r="AI144" s="259"/>
    </row>
    <row r="145" spans="3:35" x14ac:dyDescent="0.2">
      <c r="C145" s="308"/>
      <c r="G145" s="145">
        <f ca="1">rF1.WallLenght02/rF1.WallThickness02</f>
        <v>4.7058823529411766</v>
      </c>
      <c r="K145" s="146" t="s">
        <v>218</v>
      </c>
      <c r="L145" s="146" t="s">
        <v>85</v>
      </c>
      <c r="M145" s="318">
        <f>rF1.WallLenght</f>
        <v>3.2</v>
      </c>
      <c r="N145" s="318">
        <f>rF1.WallLenght</f>
        <v>2</v>
      </c>
      <c r="O145" s="318">
        <f>rF1.WallLenght</f>
        <v>2</v>
      </c>
      <c r="P145" s="319"/>
      <c r="Q145" s="319"/>
      <c r="R145" s="403"/>
      <c r="S145" s="155"/>
      <c r="T145" s="238">
        <v>0.44</v>
      </c>
      <c r="U145" s="209">
        <f t="shared" ca="1" si="14"/>
        <v>285.88560000000007</v>
      </c>
      <c r="V145" s="118">
        <f t="shared" ca="1" si="18"/>
        <v>7.3989999999999986E-2</v>
      </c>
      <c r="W145" s="204">
        <f t="shared" ca="1" si="19"/>
        <v>21.152675544000001</v>
      </c>
      <c r="Y145" s="209">
        <f t="shared" ca="1" si="15"/>
        <v>285.88560000000007</v>
      </c>
      <c r="Z145" s="118">
        <f t="shared" ca="1" si="20"/>
        <v>7.3989999999999986E-2</v>
      </c>
      <c r="AA145" s="204">
        <f t="shared" ca="1" si="21"/>
        <v>21.152675544000001</v>
      </c>
      <c r="AC145" s="209">
        <f t="shared" ca="1" si="22"/>
        <v>9.35E-2</v>
      </c>
      <c r="AD145" s="118">
        <f t="shared" ca="1" si="23"/>
        <v>0</v>
      </c>
      <c r="AE145" s="118">
        <f t="shared" ca="1" si="24"/>
        <v>9.35E-2</v>
      </c>
      <c r="AF145" s="118">
        <f t="shared" ca="1" si="16"/>
        <v>0.48903529411764701</v>
      </c>
      <c r="AG145" s="118">
        <f t="shared" ca="1" si="17"/>
        <v>612.4351999999999</v>
      </c>
      <c r="AH145" s="204">
        <f t="shared" ca="1" si="25"/>
        <v>57.262691199999992</v>
      </c>
      <c r="AI145" s="259"/>
    </row>
    <row r="146" spans="3:35" x14ac:dyDescent="0.2">
      <c r="C146" s="308"/>
      <c r="K146" s="266" t="s">
        <v>276</v>
      </c>
      <c r="L146" s="266" t="s">
        <v>114</v>
      </c>
      <c r="M146" s="321"/>
      <c r="N146" s="322">
        <f ca="1">rF1.WallThickness*rF1.WallLenght</f>
        <v>0.85</v>
      </c>
      <c r="O146" s="321"/>
      <c r="P146" s="309"/>
      <c r="Q146" s="309"/>
      <c r="R146" s="403"/>
      <c r="S146" s="155"/>
      <c r="T146" s="238">
        <v>0.45</v>
      </c>
      <c r="U146" s="209">
        <f t="shared" ca="1" si="14"/>
        <v>292.38300000000004</v>
      </c>
      <c r="V146" s="118">
        <f t="shared" ca="1" si="18"/>
        <v>7.2887499999999994E-2</v>
      </c>
      <c r="W146" s="204">
        <f t="shared" ca="1" si="19"/>
        <v>21.311065912500002</v>
      </c>
      <c r="Y146" s="209">
        <f t="shared" ca="1" si="15"/>
        <v>292.38300000000004</v>
      </c>
      <c r="Z146" s="118">
        <f t="shared" ca="1" si="20"/>
        <v>7.2887499999999994E-2</v>
      </c>
      <c r="AA146" s="204">
        <f t="shared" ca="1" si="21"/>
        <v>21.311065912500002</v>
      </c>
      <c r="AC146" s="209">
        <f t="shared" ca="1" si="22"/>
        <v>9.5625000000000002E-2</v>
      </c>
      <c r="AD146" s="118">
        <f t="shared" ca="1" si="23"/>
        <v>0</v>
      </c>
      <c r="AE146" s="118">
        <f t="shared" ca="1" si="24"/>
        <v>9.5625000000000002E-2</v>
      </c>
      <c r="AF146" s="118">
        <f t="shared" ca="1" si="16"/>
        <v>0.47763529411764705</v>
      </c>
      <c r="AG146" s="118">
        <f t="shared" ca="1" si="17"/>
        <v>598.15859999999998</v>
      </c>
      <c r="AH146" s="204">
        <f t="shared" ca="1" si="25"/>
        <v>57.198916124999997</v>
      </c>
      <c r="AI146" s="259"/>
    </row>
    <row r="147" spans="3:35" x14ac:dyDescent="0.2">
      <c r="C147" s="308">
        <v>1</v>
      </c>
      <c r="G147" s="145">
        <f ca="1">IF(OR(AND(rF1.FixedVergesNumber=1,rF1.RatioLengthThick02&gt;rP1.MaximumLengthOneFixed),AND(rF1.FixedVergesNumber=2,rF1.RatioLengthThick02&gt;rP1.MaximumLengthTwoFixed)),0,rF1.FixedVergesNumber)</f>
        <v>0</v>
      </c>
      <c r="K147" s="146" t="s">
        <v>220</v>
      </c>
      <c r="L147" s="146"/>
      <c r="M147" s="310"/>
      <c r="N147" s="310">
        <f ca="1">OFFSET(rL1.FixedVergesHead,rF1.FixedVergesSelection02,rF1.ColumnPlacementFactor,1,1)</f>
        <v>0</v>
      </c>
      <c r="O147" s="411" t="str">
        <f ca="1">IF(rF1.FixedVergesNumber&lt;&gt;rF1.FixedVergesNumberSelection,IF(rF1.FixedVergesNumber=1,rP2.OutputOneFixedVergeNP,IF(rF1.FixedVergesNumber=2,rP2.OutputTwoFixedVergesNP,"")),"")</f>
        <v/>
      </c>
      <c r="P147" s="319"/>
      <c r="Q147" s="319"/>
      <c r="R147" s="403"/>
      <c r="S147" s="155"/>
      <c r="T147" s="238">
        <v>0.46</v>
      </c>
      <c r="U147" s="209">
        <f t="shared" ca="1" si="14"/>
        <v>298.88040000000007</v>
      </c>
      <c r="V147" s="118">
        <f t="shared" ca="1" si="18"/>
        <v>7.1784999999999988E-2</v>
      </c>
      <c r="W147" s="204">
        <f t="shared" ca="1" si="19"/>
        <v>21.455129513999999</v>
      </c>
      <c r="Y147" s="209">
        <f t="shared" ca="1" si="15"/>
        <v>298.88040000000007</v>
      </c>
      <c r="Z147" s="118">
        <f t="shared" ca="1" si="20"/>
        <v>7.1784999999999988E-2</v>
      </c>
      <c r="AA147" s="204">
        <f t="shared" ca="1" si="21"/>
        <v>21.455129513999999</v>
      </c>
      <c r="AC147" s="209">
        <f t="shared" ca="1" si="22"/>
        <v>9.7750000000000004E-2</v>
      </c>
      <c r="AD147" s="118">
        <f t="shared" ca="1" si="23"/>
        <v>0</v>
      </c>
      <c r="AE147" s="118">
        <f t="shared" ca="1" si="24"/>
        <v>9.7750000000000004E-2</v>
      </c>
      <c r="AF147" s="118">
        <f t="shared" ca="1" si="16"/>
        <v>0.46623529411764708</v>
      </c>
      <c r="AG147" s="118">
        <f t="shared" ca="1" si="17"/>
        <v>583.88199999999995</v>
      </c>
      <c r="AH147" s="204">
        <f t="shared" ca="1" si="25"/>
        <v>57.074465499999995</v>
      </c>
      <c r="AI147" s="259"/>
    </row>
    <row r="148" spans="3:35" ht="15.75" x14ac:dyDescent="0.2">
      <c r="C148" s="308">
        <v>5</v>
      </c>
      <c r="K148" s="266" t="s">
        <v>393</v>
      </c>
      <c r="L148" s="266" t="s">
        <v>394</v>
      </c>
      <c r="M148" s="323"/>
      <c r="N148" s="324">
        <f ca="1">OFFSET(INDIRECT(rF1.BrickListNumber),MIN(rF1.BrickProductSelection*1,COUNTA(rF1.BrickList02)),rF1.ColumnPlacementFactor,1,1)</f>
        <v>249</v>
      </c>
      <c r="O148" s="323"/>
      <c r="P148" s="309"/>
      <c r="Q148" s="309"/>
      <c r="R148" s="403"/>
      <c r="S148" s="155"/>
      <c r="T148" s="238">
        <v>0.47</v>
      </c>
      <c r="U148" s="209">
        <f t="shared" ca="1" si="14"/>
        <v>305.37780000000004</v>
      </c>
      <c r="V148" s="118">
        <f t="shared" ca="1" si="18"/>
        <v>7.0682499999999981E-2</v>
      </c>
      <c r="W148" s="204">
        <f t="shared" ca="1" si="19"/>
        <v>21.584866348499997</v>
      </c>
      <c r="Y148" s="209">
        <f t="shared" ca="1" si="15"/>
        <v>305.37780000000004</v>
      </c>
      <c r="Z148" s="118">
        <f t="shared" ca="1" si="20"/>
        <v>7.0682499999999981E-2</v>
      </c>
      <c r="AA148" s="204">
        <f t="shared" ca="1" si="21"/>
        <v>21.584866348499997</v>
      </c>
      <c r="AC148" s="209">
        <f t="shared" ca="1" si="22"/>
        <v>9.9874999999999992E-2</v>
      </c>
      <c r="AD148" s="118">
        <f t="shared" ca="1" si="23"/>
        <v>0</v>
      </c>
      <c r="AE148" s="118">
        <f t="shared" ca="1" si="24"/>
        <v>9.9874999999999992E-2</v>
      </c>
      <c r="AF148" s="118">
        <f t="shared" ca="1" si="16"/>
        <v>0.454835294117647</v>
      </c>
      <c r="AG148" s="118">
        <f t="shared" ca="1" si="17"/>
        <v>569.6053999999998</v>
      </c>
      <c r="AH148" s="204">
        <f t="shared" ca="1" si="25"/>
        <v>56.889339324999973</v>
      </c>
      <c r="AI148" s="259"/>
    </row>
    <row r="149" spans="3:35" ht="15.75" x14ac:dyDescent="0.2">
      <c r="C149" s="308">
        <v>4</v>
      </c>
      <c r="K149" s="146"/>
      <c r="L149" s="146" t="s">
        <v>395</v>
      </c>
      <c r="M149" s="310"/>
      <c r="N149" s="325">
        <f ca="1">OFFSET(INDIRECT(rF1.BrickListNumber),MIN(rF1.BrickProductSelection*1,COUNTA(rF1.BrickList02)),rF1.ColumnPlacementFactor,1,1)</f>
        <v>248</v>
      </c>
      <c r="O149" s="310"/>
      <c r="P149" s="319"/>
      <c r="Q149" s="319"/>
      <c r="R149" s="403"/>
      <c r="S149" s="155"/>
      <c r="T149" s="238">
        <v>0.48</v>
      </c>
      <c r="U149" s="209">
        <f t="shared" ca="1" si="14"/>
        <v>311.87520000000006</v>
      </c>
      <c r="V149" s="118">
        <f t="shared" ca="1" si="18"/>
        <v>6.9579999999999989E-2</v>
      </c>
      <c r="W149" s="204">
        <f t="shared" ca="1" si="19"/>
        <v>21.700276416000001</v>
      </c>
      <c r="Y149" s="209">
        <f t="shared" ca="1" si="15"/>
        <v>311.87520000000006</v>
      </c>
      <c r="Z149" s="118">
        <f t="shared" ca="1" si="20"/>
        <v>6.9579999999999989E-2</v>
      </c>
      <c r="AA149" s="204">
        <f t="shared" ca="1" si="21"/>
        <v>21.700276416000001</v>
      </c>
      <c r="AC149" s="209">
        <f t="shared" ca="1" si="22"/>
        <v>0.10199999999999999</v>
      </c>
      <c r="AD149" s="118">
        <f t="shared" ca="1" si="23"/>
        <v>0</v>
      </c>
      <c r="AE149" s="118">
        <f t="shared" ca="1" si="24"/>
        <v>0.10199999999999999</v>
      </c>
      <c r="AF149" s="118">
        <f t="shared" ca="1" si="16"/>
        <v>0.44343529411764704</v>
      </c>
      <c r="AG149" s="118">
        <f t="shared" ca="1" si="17"/>
        <v>555.3288</v>
      </c>
      <c r="AH149" s="204">
        <f t="shared" ca="1" si="25"/>
        <v>56.643537599999995</v>
      </c>
      <c r="AI149" s="259"/>
    </row>
    <row r="150" spans="3:35" ht="15.75" x14ac:dyDescent="0.2">
      <c r="C150" s="308"/>
      <c r="G150" s="145">
        <f ca="1">ABS(((rF1.WallThickness02-rF1.BearingDepthTop02)/2+rF1.EccentricityShiftC5Top+rF1.EccentricitySlabTop+rF1.EccentricityWindTop)/rF1.WallThickness02)</f>
        <v>0.23537442364395109</v>
      </c>
      <c r="K150" s="266"/>
      <c r="L150" s="266" t="s">
        <v>465</v>
      </c>
      <c r="M150" s="323"/>
      <c r="N150" s="317">
        <f ca="1">rF1.BrickHeight02/rF1.BrickLength02</f>
        <v>1.0040322580645162</v>
      </c>
      <c r="O150" s="323"/>
      <c r="P150" s="309"/>
      <c r="Q150" s="309"/>
      <c r="R150" s="403"/>
      <c r="S150" s="155"/>
      <c r="T150" s="238">
        <v>0.49</v>
      </c>
      <c r="U150" s="209">
        <f t="shared" ca="1" si="14"/>
        <v>318.37260000000003</v>
      </c>
      <c r="V150" s="118">
        <f t="shared" ca="1" si="18"/>
        <v>6.8477499999999997E-2</v>
      </c>
      <c r="W150" s="204">
        <f t="shared" ca="1" si="19"/>
        <v>21.801359716500002</v>
      </c>
      <c r="Y150" s="209">
        <f t="shared" ca="1" si="15"/>
        <v>318.37260000000003</v>
      </c>
      <c r="Z150" s="118">
        <f t="shared" ca="1" si="20"/>
        <v>6.8477499999999997E-2</v>
      </c>
      <c r="AA150" s="204">
        <f t="shared" ca="1" si="21"/>
        <v>21.801359716500002</v>
      </c>
      <c r="AC150" s="209">
        <f t="shared" ca="1" si="22"/>
        <v>0.104125</v>
      </c>
      <c r="AD150" s="118">
        <f t="shared" ca="1" si="23"/>
        <v>0</v>
      </c>
      <c r="AE150" s="118">
        <f t="shared" ca="1" si="24"/>
        <v>0.104125</v>
      </c>
      <c r="AF150" s="118">
        <f t="shared" ca="1" si="16"/>
        <v>0.43203529411764696</v>
      </c>
      <c r="AG150" s="118">
        <f t="shared" ca="1" si="17"/>
        <v>541.05219999999986</v>
      </c>
      <c r="AH150" s="204">
        <f t="shared" ca="1" si="25"/>
        <v>56.337060324999982</v>
      </c>
      <c r="AI150" s="259"/>
    </row>
    <row r="151" spans="3:35" ht="15.75" x14ac:dyDescent="0.2">
      <c r="C151" s="308">
        <v>2</v>
      </c>
      <c r="E151" s="145">
        <f ca="1">INDEX(rL5.EccentricityFactor,MATCH(rF1.EccentricityFactor,rL5.EccentricityFactor,1))</f>
        <v>0.16666666666666666</v>
      </c>
      <c r="F151" s="145">
        <f ca="1">INDEX(rL5.EccentricityFactor,MATCH(rF1.EccentricityFactor,rL5.EccentricityFactor,1)+1)</f>
        <v>0.33333333333333331</v>
      </c>
      <c r="G151" s="145">
        <f ca="1">MAX(INDEX(rL5.Rho_2,MATCH(rF1.EccentricityFactor,rL5.EccentricityFactor,1)),OFFSET(rL1.Wall01Head,rF1.WallBearingTopSelection02,rF1.ColumnPlacementFactor,1,1),OFFSET(rL1.Wall01Head,rF1.WallBearingBottomSelection02,rF1.ColumnPlacementFactor,1,1))</f>
        <v>0.75</v>
      </c>
      <c r="H151" s="145">
        <f ca="1">MAX(INDEX(rL5.Rho_2,MATCH(rF1.EccentricityFactor,rL5.EccentricityFactor,1)+1),OFFSET(rL1.Wall01Head,rF1.WallBearingTopSelection02,rF1.ColumnPlacementFactor,1,1),OFFSET(rL1.Wall01Head,rF1.WallBearingBottomSelection02,rF1.ColumnPlacementFactor,1,1))</f>
        <v>1</v>
      </c>
      <c r="K151" s="146" t="s">
        <v>277</v>
      </c>
      <c r="L151" s="146" t="s">
        <v>84</v>
      </c>
      <c r="M151" s="315"/>
      <c r="N151" s="326">
        <f ca="1">IF(OR(rF1.CheckWoodenSlab01,rF1.CheckWoodenSlab02),1,IF(OR(AND(rF1.WallThickness02&gt;=rP1.BucklingThickness,rF1.BearingDepthTopRelated&gt;=2/3),AND(rF1.WallThickness02&lt;rP1.BucklingThickness,rF1.BearingDepthTop02&gt;=rP1.BucklingBearingDepth)),IF(OR(rF1.FixedVergesNumberSelection=1,rF1.FixedVergesNumberSelection=2),MAX(OFFSET(rL1.Wall01Head,rF1.WallBearingTopSelection02,rF1.ColumnPlacementFactor,1,1),OFFSET(rL1.Wall01Head,rF1.WallBearingBottomSelection02,rF1.ColumnPlacementFactor,1,1)),rF1.BucklingInterpolY1+(rF1.BucklingInterpolY2-rF1.BucklingInterpolY1)/(rF1.BucklingInterpolX2-rF1.BucklingInterpolX1)*(rF1.EccentricityFactor-rF1.BucklingInterpolX1)),1))</f>
        <v>1</v>
      </c>
      <c r="O151" s="326"/>
      <c r="P151" s="218" t="str">
        <f ca="1">IF(AND(rF1.CheckWoodenSlab02=1,rF1.WallThickness02-rF1.DistanceTop02&lt;0.085),rP2.OutputBearingWoodenSlab01,IF(AND(rF1.CheckWoodenSlab02=1,rF1.DistanceTop02/rF1.WallThickness02&gt;1/3),rP2.OutputBearingWoodenSlab02,""))</f>
        <v/>
      </c>
      <c r="Q151" s="319"/>
      <c r="R151" s="403"/>
      <c r="S151" s="155"/>
      <c r="T151" s="238">
        <v>0.5</v>
      </c>
      <c r="U151" s="209">
        <f t="shared" ca="1" si="14"/>
        <v>324.87000000000006</v>
      </c>
      <c r="V151" s="118">
        <f t="shared" ca="1" si="18"/>
        <v>6.737499999999999E-2</v>
      </c>
      <c r="W151" s="204">
        <f t="shared" ca="1" si="19"/>
        <v>21.888116249999999</v>
      </c>
      <c r="Y151" s="209">
        <f t="shared" ca="1" si="15"/>
        <v>324.87000000000006</v>
      </c>
      <c r="Z151" s="118">
        <f t="shared" ca="1" si="20"/>
        <v>6.737499999999999E-2</v>
      </c>
      <c r="AA151" s="204">
        <f t="shared" ca="1" si="21"/>
        <v>21.888116249999999</v>
      </c>
      <c r="AC151" s="209">
        <f t="shared" ca="1" si="22"/>
        <v>0.10625</v>
      </c>
      <c r="AD151" s="118">
        <f t="shared" ca="1" si="23"/>
        <v>0</v>
      </c>
      <c r="AE151" s="118">
        <f t="shared" ca="1" si="24"/>
        <v>0.10625</v>
      </c>
      <c r="AF151" s="118">
        <f t="shared" ca="1" si="16"/>
        <v>0.420635294117647</v>
      </c>
      <c r="AG151" s="118">
        <f t="shared" ca="1" si="17"/>
        <v>526.77559999999994</v>
      </c>
      <c r="AH151" s="204">
        <f t="shared" ca="1" si="25"/>
        <v>55.969907499999991</v>
      </c>
      <c r="AI151" s="259"/>
    </row>
    <row r="152" spans="3:35" ht="15.75" x14ac:dyDescent="0.2">
      <c r="C152" s="308"/>
      <c r="E152" s="145">
        <f ca="1">OFFSET(INDIRECT(OFFSET(rL5.OverlappingHead,rF1.OverlappingSelection,1,1,1)),0,MATCH(rF1.BrickHeightLenght,OFFSET(INDIRECT(OFFSET(rL5.OverlappingHead,rF1.OverlappingSelection,1,1,1)),0,1,1,4),1),1,1)</f>
        <v>0</v>
      </c>
      <c r="F152" s="145">
        <f ca="1">OFFSET(INDIRECT(OFFSET(rL5.OverlappingHead,rF1.OverlappingSelection,1,1,1)),0,MATCH(rF1.BrickHeightLenght,OFFSET(INDIRECT(OFFSET(rL5.OverlappingHead,rF1.OverlappingSelection,1,1,1)),0,1,1,4),1)+1,1,1)</f>
        <v>10</v>
      </c>
      <c r="G152" s="145">
        <f ca="1">OFFSET(INDIRECT(OFFSET(rL5.OverlappingHead,rF1.OverlappingSelection,1,1,1)),1,MATCH(rF1.BrickHeightLenght,OFFSET(INDIRECT(OFFSET(rL5.OverlappingHead,rF1.OverlappingSelection,1,1,1)),0,1,1,4),1),1,1)</f>
        <v>1</v>
      </c>
      <c r="H152" s="145">
        <f ca="1">OFFSET(INDIRECT(OFFSET(rL5.OverlappingHead,rF1.OverlappingSelection,1,1,1)),1,MATCH(rF1.BrickHeightLenght,OFFSET(INDIRECT(OFFSET(rL5.OverlappingHead,rF1.OverlappingSelection,1,1,1)),0,1,1,4),1)+1,1,1)</f>
        <v>1</v>
      </c>
      <c r="K152" s="266"/>
      <c r="L152" s="266" t="s">
        <v>124</v>
      </c>
      <c r="M152" s="317"/>
      <c r="N152" s="327" t="str">
        <f ca="1">IF(OR(rF1.CheckWoodenSlab01,rF1.CheckWoodenSlab02),"-",IF(rF1.FixedVergesNumberSelection=1,MAX(rF1.ReductionWallHeight02/(1+(rF1.BucklingCoeffAlpha03*rF1.ReductionWallHeight02*rF1.WallHeight/(3*rF1.WallLenght))^2),rP1.MinRho3),"-"))</f>
        <v>-</v>
      </c>
      <c r="O152" s="328" t="str">
        <f ca="1">IF(OR(rF1.CheckWoodenSlab01,rF1.CheckWoodenSlab02)," ",IF(rF1.FixedVergesNumberSelection=1,rF1.BucklingInterpolY1+(rF1.BucklingInterpolY2-rF1.BucklingInterpolY1)/(rF1.BucklingInterpolX2-rF1.BucklingInterpolX1)*(rF1.BrickHeightLenght-rF1.BucklingInterpolX1)," "))</f>
        <v xml:space="preserve"> </v>
      </c>
      <c r="P152" s="309"/>
      <c r="Q152" s="309"/>
      <c r="R152" s="403"/>
      <c r="S152" s="155"/>
      <c r="T152" s="238">
        <v>0.51</v>
      </c>
      <c r="U152" s="209">
        <f t="shared" ca="1" si="14"/>
        <v>331.36740000000009</v>
      </c>
      <c r="V152" s="118">
        <f t="shared" ca="1" si="18"/>
        <v>6.6272499999999984E-2</v>
      </c>
      <c r="W152" s="204">
        <f t="shared" ca="1" si="19"/>
        <v>21.9605460165</v>
      </c>
      <c r="Y152" s="209">
        <f t="shared" ca="1" si="15"/>
        <v>331.36740000000009</v>
      </c>
      <c r="Z152" s="118">
        <f t="shared" ca="1" si="20"/>
        <v>6.6272499999999984E-2</v>
      </c>
      <c r="AA152" s="204">
        <f t="shared" ca="1" si="21"/>
        <v>21.9605460165</v>
      </c>
      <c r="AC152" s="209">
        <f t="shared" ca="1" si="22"/>
        <v>0.108375</v>
      </c>
      <c r="AD152" s="118">
        <f t="shared" ca="1" si="23"/>
        <v>0</v>
      </c>
      <c r="AE152" s="118">
        <f t="shared" ca="1" si="24"/>
        <v>0.108375</v>
      </c>
      <c r="AF152" s="118">
        <f t="shared" ca="1" si="16"/>
        <v>0.40923529411764703</v>
      </c>
      <c r="AG152" s="118">
        <f t="shared" ca="1" si="17"/>
        <v>512.49900000000002</v>
      </c>
      <c r="AH152" s="204">
        <f t="shared" ca="1" si="25"/>
        <v>55.542079125000001</v>
      </c>
      <c r="AI152" s="259"/>
    </row>
    <row r="153" spans="3:35" ht="15.75" x14ac:dyDescent="0.2">
      <c r="C153" s="308"/>
      <c r="E153" s="145">
        <f ca="1">OFFSET(INDIRECT(OFFSET(rL5.OverlappingHead,rF1.OverlappingSelection,1,1,1)),0,MATCH(rF1.BrickHeightLenght,OFFSET(INDIRECT(OFFSET(rL5.OverlappingHead,rF1.OverlappingSelection,1,1,1)),0,1,1,4),1),1,1)</f>
        <v>0</v>
      </c>
      <c r="F153" s="145">
        <f ca="1">OFFSET(INDIRECT(OFFSET(rL5.OverlappingHead,rF1.OverlappingSelection,1,1,1)),0,MATCH(rF1.BrickHeightLenght,OFFSET(INDIRECT(OFFSET(rL5.OverlappingHead,rF1.OverlappingSelection,1,1,1)),0,1,1,4),1)+1,1,1)</f>
        <v>10</v>
      </c>
      <c r="G153" s="145">
        <f ca="1">OFFSET(INDIRECT(OFFSET(rL5.OverlappingHead,rF1.OverlappingSelection,1,1,1)),2,MATCH(rF1.BrickHeightLenght,OFFSET(INDIRECT(OFFSET(rL5.OverlappingHead,rF1.OverlappingSelection,1,1,1)),0,1,1,4),1),1,1)</f>
        <v>1</v>
      </c>
      <c r="H153" s="145">
        <f ca="1">OFFSET(INDIRECT(OFFSET(rL5.OverlappingHead,rF1.OverlappingSelection,1,1,1)),2,MATCH(rF1.BrickHeightLenght,OFFSET(INDIRECT(OFFSET(rL5.OverlappingHead,rF1.OverlappingSelection,1,1,1)),0,1,1,4),1)+1,1,1)</f>
        <v>1</v>
      </c>
      <c r="K153" s="146"/>
      <c r="L153" s="146" t="s">
        <v>125</v>
      </c>
      <c r="M153" s="315"/>
      <c r="N153" s="326" t="str">
        <f ca="1">IF(OR(rF1.CheckWoodenSlab01,rF1.CheckWoodenSlab02),"-",IF(rF1.FixedVergesNumberSelection=2,IF(rF1.BucklingCoeffAlpha04*rF1.WallHeight/rF1.WallLenght&lt;=1,rF1.ReductionWallHeight02/(1+(rF1.BucklingCoeffAlpha04*rF1.ReductionWallHeight02*rF1.WallHeight/rF1.WallLenght)^2),0.5*rF1.WallLenght/rF1.WallHeight),"-"))</f>
        <v>-</v>
      </c>
      <c r="O153" s="329" t="str">
        <f ca="1">IF(OR(rF1.CheckWoodenSlab01,rF1.CheckWoodenSlab02)," ",IF(rF1.FixedVergesNumberSelection=2,rF1.BucklingInterpolY1+(rF1.BucklingInterpolY2-rF1.BucklingInterpolY1)/(rF1.BucklingInterpolX2-rF1.BucklingInterpolX1)*(rF1.BrickHeightLenght-rF1.BucklingInterpolX1)," "))</f>
        <v xml:space="preserve"> </v>
      </c>
      <c r="P153" s="319"/>
      <c r="Q153" s="319"/>
      <c r="R153" s="403"/>
      <c r="S153" s="155"/>
      <c r="T153" s="238">
        <v>0.52</v>
      </c>
      <c r="U153" s="209">
        <f t="shared" ca="1" si="14"/>
        <v>337.86480000000006</v>
      </c>
      <c r="V153" s="118">
        <f t="shared" ca="1" si="18"/>
        <v>6.5169999999999978E-2</v>
      </c>
      <c r="W153" s="204">
        <f t="shared" ca="1" si="19"/>
        <v>22.018649015999998</v>
      </c>
      <c r="Y153" s="209">
        <f t="shared" ca="1" si="15"/>
        <v>337.86480000000006</v>
      </c>
      <c r="Z153" s="118">
        <f t="shared" ca="1" si="20"/>
        <v>6.5169999999999978E-2</v>
      </c>
      <c r="AA153" s="204">
        <f t="shared" ca="1" si="21"/>
        <v>22.018649015999998</v>
      </c>
      <c r="AC153" s="209">
        <f t="shared" ca="1" si="22"/>
        <v>0.1105</v>
      </c>
      <c r="AD153" s="118">
        <f t="shared" ca="1" si="23"/>
        <v>0</v>
      </c>
      <c r="AE153" s="118">
        <f t="shared" ca="1" si="24"/>
        <v>0.1105</v>
      </c>
      <c r="AF153" s="118">
        <f t="shared" ca="1" si="16"/>
        <v>0.39783529411764695</v>
      </c>
      <c r="AG153" s="118">
        <f t="shared" ca="1" si="17"/>
        <v>498.22239999999988</v>
      </c>
      <c r="AH153" s="204">
        <f t="shared" ca="1" si="25"/>
        <v>55.05357519999999</v>
      </c>
      <c r="AI153" s="259"/>
    </row>
    <row r="154" spans="3:35" ht="15.75" x14ac:dyDescent="0.2">
      <c r="C154" s="308"/>
      <c r="K154" s="266" t="s">
        <v>278</v>
      </c>
      <c r="L154" s="266" t="s">
        <v>71</v>
      </c>
      <c r="M154" s="330"/>
      <c r="N154" s="320">
        <f ca="1">rF1.WallHeight*MIN(rF1.ReductionWallHeight02,rF1.ReductionWallHeight03,rF1.ReductionWallHeight04)</f>
        <v>2.645</v>
      </c>
      <c r="O154" s="330"/>
      <c r="P154" s="309"/>
      <c r="Q154" s="309"/>
      <c r="R154" s="403"/>
      <c r="S154" s="155"/>
      <c r="T154" s="238">
        <v>0.53</v>
      </c>
      <c r="U154" s="209">
        <f t="shared" ca="1" si="14"/>
        <v>344.36220000000009</v>
      </c>
      <c r="V154" s="118">
        <f t="shared" ca="1" si="18"/>
        <v>6.4067499999999972E-2</v>
      </c>
      <c r="W154" s="204">
        <f t="shared" ca="1" si="19"/>
        <v>22.062425248499995</v>
      </c>
      <c r="Y154" s="209">
        <f t="shared" ca="1" si="15"/>
        <v>344.36220000000009</v>
      </c>
      <c r="Z154" s="118">
        <f t="shared" ca="1" si="20"/>
        <v>6.4067499999999972E-2</v>
      </c>
      <c r="AA154" s="204">
        <f t="shared" ca="1" si="21"/>
        <v>22.062425248499995</v>
      </c>
      <c r="AC154" s="209">
        <f t="shared" ca="1" si="22"/>
        <v>0.112625</v>
      </c>
      <c r="AD154" s="118">
        <f t="shared" ca="1" si="23"/>
        <v>0</v>
      </c>
      <c r="AE154" s="118">
        <f t="shared" ca="1" si="24"/>
        <v>0.112625</v>
      </c>
      <c r="AF154" s="118">
        <f t="shared" ca="1" si="16"/>
        <v>0.38643529411764699</v>
      </c>
      <c r="AG154" s="118">
        <f t="shared" ca="1" si="17"/>
        <v>483.94579999999985</v>
      </c>
      <c r="AH154" s="204">
        <f t="shared" ca="1" si="25"/>
        <v>54.504395724999988</v>
      </c>
      <c r="AI154" s="259"/>
    </row>
    <row r="155" spans="3:35" x14ac:dyDescent="0.2">
      <c r="C155" s="308"/>
      <c r="K155" s="183" t="s">
        <v>223</v>
      </c>
      <c r="L155" s="146"/>
      <c r="M155" s="318">
        <f ca="1">IF(OR(rF1.CheckFoundation,rF1.CheckBasePlate),0,rF1.WallThickness-rF1.BearingDepthTop)</f>
        <v>0</v>
      </c>
      <c r="N155" s="318">
        <f ca="1">rF1.WallThickness-rF1.BearingDepthTop02</f>
        <v>0.18</v>
      </c>
      <c r="O155" s="318"/>
      <c r="P155" s="319"/>
      <c r="Q155" s="319"/>
      <c r="R155" s="403"/>
      <c r="S155" s="155"/>
      <c r="T155" s="238">
        <v>0.54</v>
      </c>
      <c r="U155" s="209">
        <f t="shared" ca="1" si="14"/>
        <v>350.85960000000011</v>
      </c>
      <c r="V155" s="118">
        <f t="shared" ca="1" si="18"/>
        <v>6.2964999999999993E-2</v>
      </c>
      <c r="W155" s="204">
        <f t="shared" ca="1" si="19"/>
        <v>22.091874714000006</v>
      </c>
      <c r="Y155" s="209">
        <f t="shared" ca="1" si="15"/>
        <v>350.85960000000011</v>
      </c>
      <c r="Z155" s="118">
        <f t="shared" ca="1" si="20"/>
        <v>6.2964999999999993E-2</v>
      </c>
      <c r="AA155" s="204">
        <f t="shared" ca="1" si="21"/>
        <v>22.091874714000006</v>
      </c>
      <c r="AC155" s="209">
        <f t="shared" ca="1" si="22"/>
        <v>0.11475</v>
      </c>
      <c r="AD155" s="118">
        <f t="shared" ca="1" si="23"/>
        <v>0</v>
      </c>
      <c r="AE155" s="118">
        <f t="shared" ca="1" si="24"/>
        <v>0.11475</v>
      </c>
      <c r="AF155" s="118">
        <f t="shared" ca="1" si="16"/>
        <v>0.37503529411764691</v>
      </c>
      <c r="AG155" s="118">
        <f t="shared" ca="1" si="17"/>
        <v>469.66919999999971</v>
      </c>
      <c r="AH155" s="204">
        <f t="shared" ca="1" si="25"/>
        <v>53.894540699999972</v>
      </c>
      <c r="AI155" s="259"/>
    </row>
    <row r="156" spans="3:35" x14ac:dyDescent="0.2">
      <c r="C156" s="313"/>
      <c r="K156" s="331" t="s">
        <v>224</v>
      </c>
      <c r="L156" s="266"/>
      <c r="M156" s="320"/>
      <c r="N156" s="320">
        <f ca="1">rF1.WallThickness-rF1.BearingDepthBottom02</f>
        <v>0.18</v>
      </c>
      <c r="O156" s="320">
        <f ca="1">IF(rF1.CheckWallNotExisting,0,rF1.WallThickness-rF1.BearingDepthBottom)</f>
        <v>0.18</v>
      </c>
      <c r="P156" s="309"/>
      <c r="Q156" s="309"/>
      <c r="R156" s="403"/>
      <c r="S156" s="155"/>
      <c r="T156" s="238">
        <v>0.55000000000000004</v>
      </c>
      <c r="U156" s="209">
        <f t="shared" ca="1" si="14"/>
        <v>357.35700000000008</v>
      </c>
      <c r="V156" s="118">
        <f t="shared" ca="1" si="18"/>
        <v>6.186249999999998E-2</v>
      </c>
      <c r="W156" s="204">
        <f t="shared" ca="1" si="19"/>
        <v>22.106997412499997</v>
      </c>
      <c r="Y156" s="209">
        <f t="shared" ca="1" si="15"/>
        <v>357.35700000000008</v>
      </c>
      <c r="Z156" s="118">
        <f t="shared" ca="1" si="20"/>
        <v>6.186249999999998E-2</v>
      </c>
      <c r="AA156" s="204">
        <f t="shared" ca="1" si="21"/>
        <v>22.106997412499997</v>
      </c>
      <c r="AC156" s="209">
        <f t="shared" ca="1" si="22"/>
        <v>0.11687500000000001</v>
      </c>
      <c r="AD156" s="118">
        <f t="shared" ca="1" si="23"/>
        <v>0</v>
      </c>
      <c r="AE156" s="118">
        <f t="shared" ca="1" si="24"/>
        <v>0.11687500000000001</v>
      </c>
      <c r="AF156" s="118">
        <f t="shared" ca="1" si="16"/>
        <v>0.36363529411764695</v>
      </c>
      <c r="AG156" s="118">
        <f t="shared" ca="1" si="17"/>
        <v>455.39259999999985</v>
      </c>
      <c r="AH156" s="204">
        <f t="shared" ca="1" si="25"/>
        <v>53.224010124999985</v>
      </c>
      <c r="AI156" s="259"/>
    </row>
    <row r="157" spans="3:35" ht="15.75" x14ac:dyDescent="0.2">
      <c r="C157" s="179"/>
      <c r="K157" s="146" t="s">
        <v>490</v>
      </c>
      <c r="L157" s="146" t="s">
        <v>358</v>
      </c>
      <c r="M157" s="318">
        <f>rF1.BearingDepthTop</f>
        <v>0.25</v>
      </c>
      <c r="N157" s="318">
        <f>rF1.BearingDepthTop</f>
        <v>0.245</v>
      </c>
      <c r="O157" s="318"/>
      <c r="P157" s="319"/>
      <c r="Q157" s="319"/>
      <c r="R157" s="403"/>
      <c r="S157" s="155"/>
      <c r="T157" s="238">
        <v>0.56000000000000005</v>
      </c>
      <c r="U157" s="209">
        <f t="shared" ca="1" si="14"/>
        <v>363.85440000000011</v>
      </c>
      <c r="V157" s="118">
        <f t="shared" ca="1" si="18"/>
        <v>6.0759999999999981E-2</v>
      </c>
      <c r="W157" s="204">
        <f t="shared" ca="1" si="19"/>
        <v>22.107793344000001</v>
      </c>
      <c r="Y157" s="209">
        <f t="shared" ca="1" si="15"/>
        <v>363.85440000000011</v>
      </c>
      <c r="Z157" s="118">
        <f t="shared" ca="1" si="20"/>
        <v>6.0759999999999981E-2</v>
      </c>
      <c r="AA157" s="204">
        <f t="shared" ca="1" si="21"/>
        <v>22.107793344000001</v>
      </c>
      <c r="AC157" s="209">
        <f t="shared" ca="1" si="22"/>
        <v>0.11900000000000001</v>
      </c>
      <c r="AD157" s="118">
        <f t="shared" ca="1" si="23"/>
        <v>0</v>
      </c>
      <c r="AE157" s="118">
        <f t="shared" ca="1" si="24"/>
        <v>0.11900000000000001</v>
      </c>
      <c r="AF157" s="118">
        <f t="shared" ca="1" si="16"/>
        <v>0.35223529411764698</v>
      </c>
      <c r="AG157" s="118">
        <f t="shared" ca="1" si="17"/>
        <v>441.11599999999987</v>
      </c>
      <c r="AH157" s="204">
        <f t="shared" ca="1" si="25"/>
        <v>52.492803999999985</v>
      </c>
      <c r="AI157" s="259"/>
    </row>
    <row r="158" spans="3:35" ht="15.75" x14ac:dyDescent="0.2">
      <c r="C158" s="179"/>
      <c r="K158" s="266" t="s">
        <v>491</v>
      </c>
      <c r="L158" s="266" t="s">
        <v>359</v>
      </c>
      <c r="M158" s="320"/>
      <c r="N158" s="320">
        <f>rF1.BearingDepthBottom</f>
        <v>0.245</v>
      </c>
      <c r="O158" s="320">
        <f>rF1.BearingDepthBottom</f>
        <v>0.245</v>
      </c>
      <c r="P158" s="309"/>
      <c r="Q158" s="309"/>
      <c r="R158" s="403"/>
      <c r="S158" s="155"/>
      <c r="T158" s="238">
        <v>0.56999999999999995</v>
      </c>
      <c r="U158" s="209">
        <f t="shared" ca="1" si="14"/>
        <v>370.35180000000003</v>
      </c>
      <c r="V158" s="118">
        <f t="shared" ca="1" si="18"/>
        <v>5.9657499999999988E-2</v>
      </c>
      <c r="W158" s="204">
        <f t="shared" ca="1" si="19"/>
        <v>22.094262508499998</v>
      </c>
      <c r="Y158" s="209">
        <f t="shared" ca="1" si="15"/>
        <v>370.35180000000003</v>
      </c>
      <c r="Z158" s="118">
        <f t="shared" ca="1" si="20"/>
        <v>5.9657499999999988E-2</v>
      </c>
      <c r="AA158" s="204">
        <f t="shared" ca="1" si="21"/>
        <v>22.094262508499998</v>
      </c>
      <c r="AC158" s="209">
        <f t="shared" ca="1" si="22"/>
        <v>0.12112499999999998</v>
      </c>
      <c r="AD158" s="118">
        <f t="shared" ca="1" si="23"/>
        <v>0</v>
      </c>
      <c r="AE158" s="118">
        <f t="shared" ca="1" si="24"/>
        <v>0.12112499999999998</v>
      </c>
      <c r="AF158" s="118">
        <f t="shared" ca="1" si="16"/>
        <v>0.34083529411764707</v>
      </c>
      <c r="AG158" s="118">
        <f t="shared" ca="1" si="17"/>
        <v>426.83940000000001</v>
      </c>
      <c r="AH158" s="204">
        <f t="shared" ca="1" si="25"/>
        <v>51.700922324999993</v>
      </c>
      <c r="AI158" s="259"/>
    </row>
    <row r="159" spans="3:35" x14ac:dyDescent="0.2">
      <c r="K159" s="142" t="s">
        <v>279</v>
      </c>
      <c r="L159" s="142"/>
      <c r="M159" s="143"/>
      <c r="N159" s="143"/>
      <c r="O159" s="143"/>
      <c r="P159" s="143"/>
      <c r="Q159" s="192"/>
      <c r="R159" s="403"/>
      <c r="S159" s="155"/>
      <c r="T159" s="238">
        <v>0.57999999999999996</v>
      </c>
      <c r="U159" s="209">
        <f t="shared" ca="1" si="14"/>
        <v>376.84920000000005</v>
      </c>
      <c r="V159" s="118">
        <f t="shared" ca="1" si="18"/>
        <v>5.8554999999999996E-2</v>
      </c>
      <c r="W159" s="204">
        <f t="shared" ca="1" si="19"/>
        <v>22.066404906000002</v>
      </c>
      <c r="Y159" s="209">
        <f t="shared" ca="1" si="15"/>
        <v>376.84920000000005</v>
      </c>
      <c r="Z159" s="118">
        <f t="shared" ca="1" si="20"/>
        <v>5.8554999999999996E-2</v>
      </c>
      <c r="AA159" s="204">
        <f t="shared" ca="1" si="21"/>
        <v>22.066404906000002</v>
      </c>
      <c r="AC159" s="209">
        <f t="shared" ca="1" si="22"/>
        <v>0.12324999999999998</v>
      </c>
      <c r="AD159" s="118">
        <f t="shared" ca="1" si="23"/>
        <v>0</v>
      </c>
      <c r="AE159" s="118">
        <f t="shared" ca="1" si="24"/>
        <v>0.12324999999999998</v>
      </c>
      <c r="AF159" s="118">
        <f t="shared" ca="1" si="16"/>
        <v>0.32943529411764705</v>
      </c>
      <c r="AG159" s="118">
        <f t="shared" ca="1" si="17"/>
        <v>412.56279999999992</v>
      </c>
      <c r="AH159" s="204">
        <f t="shared" ca="1" si="25"/>
        <v>50.848365099999981</v>
      </c>
      <c r="AI159" s="259"/>
    </row>
    <row r="160" spans="3:35" x14ac:dyDescent="0.2">
      <c r="C160" s="194">
        <v>13</v>
      </c>
      <c r="K160" s="146" t="s">
        <v>280</v>
      </c>
      <c r="L160" s="146" t="s">
        <v>128</v>
      </c>
      <c r="M160" s="332">
        <f ca="1">IF(OR(rF1.CheckConcreteWall,rF1.CheckFoundation=1),rP1.ConcreteWeight*rF1.WallThickness,OFFSET(INDIRECT(rF1.BrickListNumber),MIN(rF1.BrickProductSelection*1,COUNTA(rF1.BrickList01)),rF1.ColumnPlacementFactor,1,1))</f>
        <v>625</v>
      </c>
      <c r="N160" s="332">
        <f ca="1">OFFSET(INDIRECT(rF1.BrickListNumber),MIN(rF1.BrickProductSelection*1,COUNTA(rF1.BrickList02)),rF1.ColumnPlacementFactor,1,1)</f>
        <v>432.5</v>
      </c>
      <c r="O160" s="332">
        <f ca="1">OFFSET(INDIRECT(rF1.BrickListNumber),MIN(rF1.BrickProductSelection*1,COUNTA(rF1.BrickList03)),rF1.ColumnPlacementFactor,1,1)</f>
        <v>432.5</v>
      </c>
      <c r="P160" s="319"/>
      <c r="Q160" s="319"/>
      <c r="R160" s="403"/>
      <c r="S160" s="155"/>
      <c r="T160" s="238">
        <v>0.59</v>
      </c>
      <c r="U160" s="209">
        <f t="shared" ca="1" si="14"/>
        <v>383.34660000000008</v>
      </c>
      <c r="V160" s="118">
        <f t="shared" ca="1" si="18"/>
        <v>5.745249999999999E-2</v>
      </c>
      <c r="W160" s="204">
        <f t="shared" ca="1" si="19"/>
        <v>22.0242205365</v>
      </c>
      <c r="Y160" s="209">
        <f t="shared" ca="1" si="15"/>
        <v>383.34660000000008</v>
      </c>
      <c r="Z160" s="118">
        <f t="shared" ca="1" si="20"/>
        <v>5.745249999999999E-2</v>
      </c>
      <c r="AA160" s="204">
        <f t="shared" ca="1" si="21"/>
        <v>22.0242205365</v>
      </c>
      <c r="AC160" s="209">
        <f t="shared" ca="1" si="22"/>
        <v>0.12537499999999999</v>
      </c>
      <c r="AD160" s="118">
        <f t="shared" ca="1" si="23"/>
        <v>0</v>
      </c>
      <c r="AE160" s="118">
        <f t="shared" ca="1" si="24"/>
        <v>0.12537499999999999</v>
      </c>
      <c r="AF160" s="118">
        <f t="shared" ca="1" si="16"/>
        <v>0.31803529411764703</v>
      </c>
      <c r="AG160" s="118">
        <f t="shared" ca="1" si="17"/>
        <v>398.28619999999995</v>
      </c>
      <c r="AH160" s="204">
        <f t="shared" ca="1" si="25"/>
        <v>49.935132324999991</v>
      </c>
      <c r="AI160" s="259"/>
    </row>
    <row r="161" spans="3:35" ht="15.75" x14ac:dyDescent="0.2">
      <c r="C161" s="308">
        <v>1</v>
      </c>
      <c r="K161" s="331" t="s">
        <v>504</v>
      </c>
      <c r="L161" s="266" t="s">
        <v>506</v>
      </c>
      <c r="M161" s="309"/>
      <c r="N161" s="309">
        <f ca="1">IF(OR(rF1.CheckBendingMomentSlabTop,rF1.CheckBendingMomentSlabBottom),rP1.StiffnessFactorHinged,OFFSET(rL1.Wall02Head,rF1.WallBearingTopSelection,rF1.ColumnPlacementFactor,1,1))</f>
        <v>4</v>
      </c>
      <c r="O161" s="309">
        <f ca="1">OFFSET(rL1.Wall03Head,rF1.WallBearingTopSelection,rF1.ColumnPlacementFactor,1,1)</f>
        <v>4</v>
      </c>
      <c r="P161" s="309"/>
      <c r="Q161" s="309"/>
      <c r="S161" s="155"/>
      <c r="T161" s="238">
        <v>0.6</v>
      </c>
      <c r="U161" s="209">
        <f t="shared" ca="1" si="14"/>
        <v>389.84400000000005</v>
      </c>
      <c r="V161" s="118">
        <f t="shared" ca="1" si="18"/>
        <v>5.6349999999999983E-2</v>
      </c>
      <c r="W161" s="204">
        <f t="shared" ca="1" si="19"/>
        <v>21.967709399999997</v>
      </c>
      <c r="Y161" s="209">
        <f t="shared" ca="1" si="15"/>
        <v>389.84400000000005</v>
      </c>
      <c r="Z161" s="118">
        <f t="shared" ca="1" si="20"/>
        <v>5.6349999999999983E-2</v>
      </c>
      <c r="AA161" s="204">
        <f t="shared" ca="1" si="21"/>
        <v>21.967709399999997</v>
      </c>
      <c r="AC161" s="209">
        <f t="shared" ca="1" si="22"/>
        <v>0.1275</v>
      </c>
      <c r="AD161" s="118">
        <f t="shared" ca="1" si="23"/>
        <v>0</v>
      </c>
      <c r="AE161" s="118">
        <f t="shared" ca="1" si="24"/>
        <v>0.1275</v>
      </c>
      <c r="AF161" s="118">
        <f t="shared" ca="1" si="16"/>
        <v>0.30663529411764701</v>
      </c>
      <c r="AG161" s="118">
        <f t="shared" ca="1" si="17"/>
        <v>384.00959999999992</v>
      </c>
      <c r="AH161" s="204">
        <f t="shared" ca="1" si="25"/>
        <v>48.961223999999987</v>
      </c>
      <c r="AI161" s="259"/>
    </row>
    <row r="162" spans="3:35" ht="15.75" x14ac:dyDescent="0.2">
      <c r="C162" s="308">
        <v>1</v>
      </c>
      <c r="K162" s="183" t="s">
        <v>505</v>
      </c>
      <c r="L162" s="146" t="s">
        <v>507</v>
      </c>
      <c r="M162" s="319">
        <f ca="1">IF(rF1.CheckFoundation,"Inf.",OFFSET(rL1.Wall01Head,rF1.WallBearingBottomSelection,rF1.ColumnPlacementFactor,1,1))</f>
        <v>4</v>
      </c>
      <c r="N162" s="319">
        <f ca="1">IF(rF1.CheckBendingMomentSlabBottom,rP1.StiffnessFactorHinged,OFFSET(rL1.Wall02Head,rF1.WallBearingBottomSelection,rF1.ColumnPlacementFactor,1,1))</f>
        <v>4</v>
      </c>
      <c r="O162" s="319"/>
      <c r="P162" s="319"/>
      <c r="Q162" s="319"/>
      <c r="R162" s="403"/>
      <c r="S162" s="155"/>
      <c r="T162" s="238">
        <v>0.61</v>
      </c>
      <c r="U162" s="209">
        <f t="shared" ca="1" si="14"/>
        <v>396.34140000000008</v>
      </c>
      <c r="V162" s="118">
        <f t="shared" ca="1" si="18"/>
        <v>5.5247499999999977E-2</v>
      </c>
      <c r="W162" s="204">
        <f t="shared" ca="1" si="19"/>
        <v>21.896871496499994</v>
      </c>
      <c r="Y162" s="209">
        <f t="shared" ca="1" si="15"/>
        <v>396.34140000000008</v>
      </c>
      <c r="Z162" s="118">
        <f t="shared" ca="1" si="20"/>
        <v>5.5247499999999977E-2</v>
      </c>
      <c r="AA162" s="204">
        <f t="shared" ca="1" si="21"/>
        <v>21.896871496499994</v>
      </c>
      <c r="AC162" s="209">
        <f t="shared" ca="1" si="22"/>
        <v>0.12962499999999999</v>
      </c>
      <c r="AD162" s="118">
        <f t="shared" ca="1" si="23"/>
        <v>0</v>
      </c>
      <c r="AE162" s="118">
        <f t="shared" ca="1" si="24"/>
        <v>0.12962499999999999</v>
      </c>
      <c r="AF162" s="118">
        <f t="shared" ca="1" si="16"/>
        <v>0.29523529411764704</v>
      </c>
      <c r="AG162" s="118">
        <f t="shared" ca="1" si="17"/>
        <v>369.73299999999995</v>
      </c>
      <c r="AH162" s="204">
        <f t="shared" ca="1" si="25"/>
        <v>47.926640124999992</v>
      </c>
      <c r="AI162" s="259"/>
    </row>
    <row r="163" spans="3:35" ht="15.75" x14ac:dyDescent="0.2">
      <c r="C163" s="308"/>
      <c r="K163" s="266" t="s">
        <v>282</v>
      </c>
      <c r="L163" s="266" t="s">
        <v>360</v>
      </c>
      <c r="M163" s="333">
        <f>rF1.WallLenght*rF1.BearingDepthTop^3/12</f>
        <v>4.1666666666666666E-3</v>
      </c>
      <c r="N163" s="333">
        <f>rF1.WallLenght*((rF1.BearingDepthTop02+rF1.BearingDepthBottom02)/2)^3/12</f>
        <v>2.4510208333333333E-3</v>
      </c>
      <c r="O163" s="333"/>
      <c r="P163" s="309"/>
      <c r="Q163" s="309"/>
      <c r="R163" s="403"/>
      <c r="S163" s="155"/>
      <c r="T163" s="238">
        <v>0.62</v>
      </c>
      <c r="U163" s="209">
        <f t="shared" ca="1" si="14"/>
        <v>402.83880000000005</v>
      </c>
      <c r="V163" s="118">
        <f t="shared" ca="1" si="18"/>
        <v>5.4144999999999985E-2</v>
      </c>
      <c r="W163" s="204">
        <f t="shared" ca="1" si="19"/>
        <v>21.811706825999998</v>
      </c>
      <c r="Y163" s="209">
        <f t="shared" ca="1" si="15"/>
        <v>402.83880000000005</v>
      </c>
      <c r="Z163" s="118">
        <f t="shared" ca="1" si="20"/>
        <v>5.4144999999999985E-2</v>
      </c>
      <c r="AA163" s="204">
        <f t="shared" ca="1" si="21"/>
        <v>21.811706825999998</v>
      </c>
      <c r="AC163" s="209">
        <f t="shared" ca="1" si="22"/>
        <v>0.13175000000000001</v>
      </c>
      <c r="AD163" s="118">
        <f t="shared" ca="1" si="23"/>
        <v>0</v>
      </c>
      <c r="AE163" s="118">
        <f t="shared" ca="1" si="24"/>
        <v>0.13175000000000001</v>
      </c>
      <c r="AF163" s="118">
        <f t="shared" ca="1" si="16"/>
        <v>0.28383529411764702</v>
      </c>
      <c r="AG163" s="118">
        <f t="shared" ca="1" si="17"/>
        <v>355.45639999999997</v>
      </c>
      <c r="AH163" s="204">
        <f t="shared" ca="1" si="25"/>
        <v>46.831380699999997</v>
      </c>
      <c r="AI163" s="259"/>
    </row>
    <row r="164" spans="3:35" ht="15.75" x14ac:dyDescent="0.2">
      <c r="C164" s="308"/>
      <c r="K164" s="146" t="s">
        <v>283</v>
      </c>
      <c r="L164" s="146" t="s">
        <v>361</v>
      </c>
      <c r="M164" s="334"/>
      <c r="N164" s="334">
        <f>rF1.WallLenght*((rF1.BearingDepthTop02+rF1.BearingDepthBottom02)/2)^3/12</f>
        <v>2.4510208333333333E-3</v>
      </c>
      <c r="O164" s="334">
        <f>rF1.WallLenght*rF1.BearingDepthBottom^3/12</f>
        <v>2.4510208333333333E-3</v>
      </c>
      <c r="P164" s="319"/>
      <c r="Q164" s="319"/>
      <c r="R164" s="403"/>
      <c r="S164" s="155"/>
      <c r="T164" s="238">
        <v>0.63</v>
      </c>
      <c r="U164" s="209">
        <f t="shared" ref="U164:U195" ca="1" si="26">IF(rF1.CheckWoodenSlabCalc,0,rF1.PlotAxForceFactor*rF1.PlotAxResistanceMaxTop)</f>
        <v>409.33620000000008</v>
      </c>
      <c r="V164" s="118">
        <f t="shared" ca="1" si="18"/>
        <v>5.3042499999999992E-2</v>
      </c>
      <c r="W164" s="204">
        <f t="shared" ca="1" si="19"/>
        <v>21.712215388500002</v>
      </c>
      <c r="Y164" s="209">
        <f t="shared" ref="Y164:Y195" ca="1" si="27">IF(rF1.CheckWoodenSlabCalc,0,rF1.PlotAxForceFactor*rF1.PlotAxResistanceMaxBottom)</f>
        <v>409.33620000000008</v>
      </c>
      <c r="Z164" s="118">
        <f t="shared" ca="1" si="20"/>
        <v>5.3042499999999992E-2</v>
      </c>
      <c r="AA164" s="204">
        <f t="shared" ca="1" si="21"/>
        <v>21.712215388500002</v>
      </c>
      <c r="AC164" s="209">
        <f t="shared" ca="1" si="22"/>
        <v>0.13387499999999999</v>
      </c>
      <c r="AD164" s="118">
        <f t="shared" ca="1" si="23"/>
        <v>0</v>
      </c>
      <c r="AE164" s="118">
        <f t="shared" ca="1" si="24"/>
        <v>0.13387499999999999</v>
      </c>
      <c r="AF164" s="118">
        <f t="shared" ref="AF164:AF195" ca="1" si="28">MIN(1.14*(1-2*rF1.PlotExcentricityTotalMiddle/rF1.WallThickness02)-0.024*rF1.WallHeightEffective/rF1.WallThickness02,1-2*rF1.PlotExcentricityTotalMiddle/rF1.WallThickness02)</f>
        <v>0.272435294117647</v>
      </c>
      <c r="AG164" s="118">
        <f t="shared" ref="AG164:AG195" ca="1" si="29">IF(rF1.CheckWoodenSlabCalc,0,rF1.PlotReductionParameterMiddle*rF1.WallThickness02*rF1.ReductionMasonryStrenghtArea02*rF1.ReductionMasonryStrengthLongTerm*rF1.MasonryStrenghtChar02/rF1.SafetyFactorMaterial02*1000)</f>
        <v>341.17979999999994</v>
      </c>
      <c r="AH164" s="204">
        <f t="shared" ca="1" si="25"/>
        <v>45.675445724999989</v>
      </c>
      <c r="AI164" s="259"/>
    </row>
    <row r="165" spans="3:35" ht="15.75" x14ac:dyDescent="0.2">
      <c r="C165" s="308"/>
      <c r="K165" s="266" t="s">
        <v>284</v>
      </c>
      <c r="L165" s="266" t="s">
        <v>44</v>
      </c>
      <c r="M165" s="309" t="str">
        <f>IF(OR(rF1.CheckConcreteWall,rF1.CheckFoundation=1),"-",rP1.MasonryStiffnessFactor)</f>
        <v>-</v>
      </c>
      <c r="N165" s="309">
        <f>rP1.MasonryStiffnessFactor</f>
        <v>1100</v>
      </c>
      <c r="O165" s="309">
        <f>rP1.MasonryStiffnessFactor</f>
        <v>1100</v>
      </c>
      <c r="P165" s="309"/>
      <c r="Q165" s="309"/>
      <c r="R165" s="403"/>
      <c r="S165" s="155"/>
      <c r="T165" s="238">
        <v>0.64</v>
      </c>
      <c r="U165" s="209">
        <f t="shared" ca="1" si="26"/>
        <v>415.8336000000001</v>
      </c>
      <c r="V165" s="118">
        <f t="shared" ref="V165:V201" ca="1" si="30">rF1.PlotWallThicknessNettoTop/2-rF1.PlotAxForceTop*rF1.SafetyFactorMaterial02/(1000*2*rF1.MasonryStrenghtChar02*rF1.ReductionMasonryStrenghtArea02*rF1.ReductionMasonryStrengthLongTerm)</f>
        <v>5.1939999999999986E-2</v>
      </c>
      <c r="W165" s="204">
        <f t="shared" ref="W165:W196" ca="1" si="31">rF1.PlotAxForceTop*rF1.PlotExcentricityTop</f>
        <v>21.598397184</v>
      </c>
      <c r="Y165" s="209">
        <f t="shared" ca="1" si="27"/>
        <v>415.8336000000001</v>
      </c>
      <c r="Z165" s="118">
        <f t="shared" ref="Z165:Z201" ca="1" si="32">rF1.PlotWallThicknessNettoBottom/2-rF1.PlotAxForceBottom*rF1.SafetyFactorMaterial02/(1000*2*rF1.MasonryStrenghtChar02*rF1.ReductionMasonryStrenghtArea02*rF1.ReductionMasonryStrengthLongTerm)</f>
        <v>5.1939999999999986E-2</v>
      </c>
      <c r="AA165" s="204">
        <f t="shared" ref="AA165:AA196" ca="1" si="33">rF1.PlotAxForceBottom*rF1.PlotExcentricityBottom</f>
        <v>21.598397184</v>
      </c>
      <c r="AC165" s="209">
        <f t="shared" ref="AC165:AC201" ca="1" si="34">rF1.PlotAxForceFactor*rF1.PlotExcentricityLoadMax</f>
        <v>0.13600000000000001</v>
      </c>
      <c r="AD165" s="118">
        <f t="shared" ref="AD165:AD196" ca="1" si="35">IF(rF1.WallSlenderness02&lt;=rP1.MaxSlendernessCreepEcc,0,0.002*rP1.CreepCoefficient*rF1.WallHeightBuckling/rF1.WallHeight02*SQRT(rF1.WallHeight02*rF1.PlotExcentricityLoadMiddle))</f>
        <v>0</v>
      </c>
      <c r="AE165" s="118">
        <f t="shared" ref="AE165:AE196" ca="1" si="36">MAX(rF1.PlotExcentricityCreepMiddle+rF1.PlotExcentricityLoadMiddle,0.05*rF1.WallThickness02)</f>
        <v>0.13600000000000001</v>
      </c>
      <c r="AF165" s="118">
        <f t="shared" ca="1" si="28"/>
        <v>0.26103529411764698</v>
      </c>
      <c r="AG165" s="118">
        <f t="shared" ca="1" si="29"/>
        <v>326.90319999999991</v>
      </c>
      <c r="AH165" s="204">
        <f t="shared" ref="AH165:AH196" ca="1" si="37">rF1.PlotExcentricityTotalMiddle*rF1.PlotAxForceMiddle</f>
        <v>44.458835199999989</v>
      </c>
      <c r="AI165" s="259"/>
    </row>
    <row r="166" spans="3:35" ht="15.75" x14ac:dyDescent="0.2">
      <c r="C166" s="308"/>
      <c r="K166" s="146" t="s">
        <v>285</v>
      </c>
      <c r="L166" s="335" t="s">
        <v>46</v>
      </c>
      <c r="M166" s="336"/>
      <c r="N166" s="336">
        <f>rP1.CreepCoefficient</f>
        <v>1</v>
      </c>
      <c r="O166" s="336"/>
      <c r="P166" s="319"/>
      <c r="Q166" s="319"/>
      <c r="R166" s="403"/>
      <c r="S166" s="155"/>
      <c r="T166" s="238">
        <v>0.65</v>
      </c>
      <c r="U166" s="209">
        <f t="shared" ca="1" si="26"/>
        <v>422.33100000000007</v>
      </c>
      <c r="V166" s="118">
        <f t="shared" ca="1" si="30"/>
        <v>5.0837499999999994E-2</v>
      </c>
      <c r="W166" s="204">
        <f t="shared" ca="1" si="31"/>
        <v>21.4702522125</v>
      </c>
      <c r="Y166" s="209">
        <f t="shared" ca="1" si="27"/>
        <v>422.33100000000007</v>
      </c>
      <c r="Z166" s="118">
        <f t="shared" ca="1" si="32"/>
        <v>5.0837499999999994E-2</v>
      </c>
      <c r="AA166" s="204">
        <f t="shared" ca="1" si="33"/>
        <v>21.4702522125</v>
      </c>
      <c r="AC166" s="209">
        <f t="shared" ca="1" si="34"/>
        <v>0.138125</v>
      </c>
      <c r="AD166" s="118">
        <f t="shared" ca="1" si="35"/>
        <v>0</v>
      </c>
      <c r="AE166" s="118">
        <f t="shared" ca="1" si="36"/>
        <v>0.138125</v>
      </c>
      <c r="AF166" s="118">
        <f t="shared" ca="1" si="28"/>
        <v>0.24963529411764701</v>
      </c>
      <c r="AG166" s="118">
        <f t="shared" ca="1" si="29"/>
        <v>312.62659999999994</v>
      </c>
      <c r="AH166" s="204">
        <f t="shared" ca="1" si="37"/>
        <v>43.181549124999989</v>
      </c>
      <c r="AI166" s="259"/>
    </row>
    <row r="167" spans="3:35" x14ac:dyDescent="0.2">
      <c r="C167" s="308">
        <v>4</v>
      </c>
      <c r="K167" s="266" t="s">
        <v>286</v>
      </c>
      <c r="L167" s="266" t="s">
        <v>47</v>
      </c>
      <c r="M167" s="337">
        <f ca="1">IF(rF1.CheckFoundation,"Inf.",IF(rF1.CheckConcreteWall,OFFSET(rD3.Knoten,MIN(rF1.ConcreteFillSelection*1,COUNTA(rF1.ConcreteFillList01)),rF1.ColumnPlacementFactor,1,1),rF1.MasonryStrenghtChar*rF1.MasonryStiffnessFactor))</f>
        <v>30000</v>
      </c>
      <c r="N167" s="337">
        <f ca="1">rF1.MasonryStrenghtChar*rF1.MasonryStiffnessFactor</f>
        <v>5720</v>
      </c>
      <c r="O167" s="337">
        <f ca="1">IF(rF1.CheckWallNotExisting=1,0,rF1.MasonryStrenghtChar*rF1.MasonryStiffnessFactor)</f>
        <v>5720</v>
      </c>
      <c r="P167" s="309"/>
      <c r="Q167" s="309"/>
      <c r="R167" s="403"/>
      <c r="S167" s="155"/>
      <c r="T167" s="238">
        <v>0.66</v>
      </c>
      <c r="U167" s="209">
        <f t="shared" ca="1" si="26"/>
        <v>428.8284000000001</v>
      </c>
      <c r="V167" s="118">
        <f t="shared" ca="1" si="30"/>
        <v>4.9734999999999974E-2</v>
      </c>
      <c r="W167" s="204">
        <f t="shared" ca="1" si="31"/>
        <v>21.327780473999994</v>
      </c>
      <c r="Y167" s="209">
        <f t="shared" ca="1" si="27"/>
        <v>428.8284000000001</v>
      </c>
      <c r="Z167" s="118">
        <f t="shared" ca="1" si="32"/>
        <v>4.9734999999999974E-2</v>
      </c>
      <c r="AA167" s="204">
        <f t="shared" ca="1" si="33"/>
        <v>21.327780473999994</v>
      </c>
      <c r="AC167" s="209">
        <f t="shared" ca="1" si="34"/>
        <v>0.14025000000000001</v>
      </c>
      <c r="AD167" s="118">
        <f t="shared" ca="1" si="35"/>
        <v>0</v>
      </c>
      <c r="AE167" s="118">
        <f t="shared" ca="1" si="36"/>
        <v>0.14025000000000001</v>
      </c>
      <c r="AF167" s="118">
        <f t="shared" ca="1" si="28"/>
        <v>0.23823529411764699</v>
      </c>
      <c r="AG167" s="118">
        <f t="shared" ca="1" si="29"/>
        <v>298.34999999999997</v>
      </c>
      <c r="AH167" s="204">
        <f t="shared" ca="1" si="37"/>
        <v>41.843587499999998</v>
      </c>
      <c r="AI167" s="259"/>
    </row>
    <row r="168" spans="3:35" ht="15.75" x14ac:dyDescent="0.2">
      <c r="C168" s="308"/>
      <c r="E168" s="145">
        <f ca="1">IF(rF1.WallStiffnessTop01="Inf.",9.99999999999999E+23,rF1.WallStiffnessTop01)</f>
        <v>200000</v>
      </c>
      <c r="K168" s="146" t="s">
        <v>287</v>
      </c>
      <c r="L168" s="146" t="s">
        <v>362</v>
      </c>
      <c r="M168" s="338">
        <f ca="1">IF(OR(rF1.WallBearingBottom="Inf.",rF1.MasonryElasticity="Inf."),"Inf.",rF1.WallBearingBottom*rF1.MasonryElasticity*1000*rF1.InertiaTop/rF1.WallHeight)</f>
        <v>200000</v>
      </c>
      <c r="N168" s="338">
        <f ca="1">IF(rF1.CheckBendingMomentSlabTop,0,rF1.WallBearingBottom*rF1.MasonryElasticity*1000*rF1.InertiaTop/rF1.WallHeight)</f>
        <v>21202.025204788908</v>
      </c>
      <c r="O168" s="338"/>
      <c r="P168" s="319"/>
      <c r="Q168" s="319"/>
      <c r="R168" s="403"/>
      <c r="S168" s="155"/>
      <c r="T168" s="238">
        <v>0.67</v>
      </c>
      <c r="U168" s="209">
        <f t="shared" ca="1" si="26"/>
        <v>435.32580000000013</v>
      </c>
      <c r="V168" s="118">
        <f t="shared" ca="1" si="30"/>
        <v>4.8632499999999967E-2</v>
      </c>
      <c r="W168" s="204">
        <f t="shared" ca="1" si="31"/>
        <v>21.170981968499991</v>
      </c>
      <c r="Y168" s="209">
        <f t="shared" ca="1" si="27"/>
        <v>435.32580000000013</v>
      </c>
      <c r="Z168" s="118">
        <f t="shared" ca="1" si="32"/>
        <v>4.8632499999999967E-2</v>
      </c>
      <c r="AA168" s="204">
        <f t="shared" ca="1" si="33"/>
        <v>21.170981968499991</v>
      </c>
      <c r="AC168" s="209">
        <f t="shared" ca="1" si="34"/>
        <v>0.142375</v>
      </c>
      <c r="AD168" s="118">
        <f t="shared" ca="1" si="35"/>
        <v>0</v>
      </c>
      <c r="AE168" s="118">
        <f t="shared" ca="1" si="36"/>
        <v>0.142375</v>
      </c>
      <c r="AF168" s="118">
        <f t="shared" ca="1" si="28"/>
        <v>0.22683529411764697</v>
      </c>
      <c r="AG168" s="118">
        <f t="shared" ca="1" si="29"/>
        <v>284.07339999999988</v>
      </c>
      <c r="AH168" s="204">
        <f t="shared" ca="1" si="37"/>
        <v>40.444950324999986</v>
      </c>
      <c r="AI168" s="259"/>
    </row>
    <row r="169" spans="3:35" ht="15.75" x14ac:dyDescent="0.2">
      <c r="C169" s="308"/>
      <c r="G169" s="145">
        <f ca="1">IF(rF1.WallStiffnessBottom03="Inf.",9.99999999999999E+23,rF1.WallStiffnessBottom03)</f>
        <v>21202.025204788908</v>
      </c>
      <c r="K169" s="266" t="s">
        <v>288</v>
      </c>
      <c r="L169" s="266" t="s">
        <v>363</v>
      </c>
      <c r="M169" s="339"/>
      <c r="N169" s="339">
        <f ca="1">IF(rF1.CheckBendingMomentSlabBottom,0,rF1.WallBearingTop*rF1.MasonryElasticity*1000*rF1.InertiaBottom/rF1.WallHeight)</f>
        <v>21202.025204788908</v>
      </c>
      <c r="O169" s="339">
        <f ca="1">IF(rF1.WallBearingTop="Inf.","Inf.",rF1.WallBearingTop*rF1.MasonryElasticity*1000*rF1.InertiaBottom/rF1.WallHeight)</f>
        <v>21202.025204788908</v>
      </c>
      <c r="P169" s="309"/>
      <c r="Q169" s="309"/>
      <c r="R169" s="403"/>
      <c r="S169" s="155"/>
      <c r="T169" s="238">
        <v>0.68</v>
      </c>
      <c r="U169" s="209">
        <f t="shared" ca="1" si="26"/>
        <v>441.8232000000001</v>
      </c>
      <c r="V169" s="118">
        <f t="shared" ca="1" si="30"/>
        <v>4.7529999999999975E-2</v>
      </c>
      <c r="W169" s="204">
        <f t="shared" ca="1" si="31"/>
        <v>20.999856695999995</v>
      </c>
      <c r="Y169" s="209">
        <f t="shared" ca="1" si="27"/>
        <v>441.8232000000001</v>
      </c>
      <c r="Z169" s="118">
        <f t="shared" ca="1" si="32"/>
        <v>4.7529999999999975E-2</v>
      </c>
      <c r="AA169" s="204">
        <f t="shared" ca="1" si="33"/>
        <v>20.999856695999995</v>
      </c>
      <c r="AC169" s="209">
        <f t="shared" ca="1" si="34"/>
        <v>0.14450000000000002</v>
      </c>
      <c r="AD169" s="118">
        <f t="shared" ca="1" si="35"/>
        <v>0</v>
      </c>
      <c r="AE169" s="118">
        <f t="shared" ca="1" si="36"/>
        <v>0.14450000000000002</v>
      </c>
      <c r="AF169" s="118">
        <f t="shared" ca="1" si="28"/>
        <v>0.21543529411764695</v>
      </c>
      <c r="AG169" s="118">
        <f t="shared" ca="1" si="29"/>
        <v>269.79679999999985</v>
      </c>
      <c r="AH169" s="204">
        <f t="shared" ca="1" si="37"/>
        <v>38.985637599999983</v>
      </c>
      <c r="AI169" s="259"/>
    </row>
    <row r="170" spans="3:35" ht="15.75" x14ac:dyDescent="0.2">
      <c r="C170" s="313"/>
      <c r="K170" s="146" t="s">
        <v>289</v>
      </c>
      <c r="L170" s="146" t="s">
        <v>48</v>
      </c>
      <c r="M170" s="315"/>
      <c r="N170" s="326">
        <f ca="1">rF1.WallHeightEffective/rF1.WallThickness</f>
        <v>6.223529411764706</v>
      </c>
      <c r="O170" s="315"/>
      <c r="P170" s="340" t="str">
        <f>rP2.OutputWallSlenderness&amp;" "&amp;rP1.MaxSlendernessWall</f>
        <v>Schlankheit &gt; 27</v>
      </c>
      <c r="Q170" s="319"/>
      <c r="R170" s="403"/>
      <c r="S170" s="155"/>
      <c r="T170" s="238">
        <v>0.69</v>
      </c>
      <c r="U170" s="209">
        <f t="shared" ca="1" si="26"/>
        <v>448.32060000000007</v>
      </c>
      <c r="V170" s="118">
        <f t="shared" ca="1" si="30"/>
        <v>4.6427499999999983E-2</v>
      </c>
      <c r="W170" s="204">
        <f t="shared" ca="1" si="31"/>
        <v>20.814404656499995</v>
      </c>
      <c r="Y170" s="209">
        <f t="shared" ca="1" si="27"/>
        <v>448.32060000000007</v>
      </c>
      <c r="Z170" s="118">
        <f t="shared" ca="1" si="32"/>
        <v>4.6427499999999983E-2</v>
      </c>
      <c r="AA170" s="204">
        <f t="shared" ca="1" si="33"/>
        <v>20.814404656499995</v>
      </c>
      <c r="AC170" s="209">
        <f t="shared" ca="1" si="34"/>
        <v>0.14662499999999998</v>
      </c>
      <c r="AD170" s="118">
        <f t="shared" ca="1" si="35"/>
        <v>0</v>
      </c>
      <c r="AE170" s="118">
        <f t="shared" ca="1" si="36"/>
        <v>0.14662499999999998</v>
      </c>
      <c r="AF170" s="118">
        <f t="shared" ca="1" si="28"/>
        <v>0.20403529411764709</v>
      </c>
      <c r="AG170" s="118">
        <f t="shared" ca="1" si="29"/>
        <v>255.52020000000002</v>
      </c>
      <c r="AH170" s="204">
        <f t="shared" ca="1" si="37"/>
        <v>37.465649324999994</v>
      </c>
      <c r="AI170" s="259"/>
    </row>
    <row r="171" spans="3:35" x14ac:dyDescent="0.2">
      <c r="K171" s="142" t="s">
        <v>290</v>
      </c>
      <c r="L171" s="142"/>
      <c r="M171" s="143" t="s">
        <v>255</v>
      </c>
      <c r="N171" s="143" t="s">
        <v>256</v>
      </c>
      <c r="O171" s="143" t="s">
        <v>257</v>
      </c>
      <c r="P171" s="143" t="s">
        <v>258</v>
      </c>
      <c r="Q171" s="192"/>
      <c r="R171" s="403"/>
      <c r="S171" s="155"/>
      <c r="T171" s="238">
        <v>0.7</v>
      </c>
      <c r="U171" s="209">
        <f t="shared" ca="1" si="26"/>
        <v>454.81800000000004</v>
      </c>
      <c r="V171" s="118">
        <f t="shared" ca="1" si="30"/>
        <v>4.532499999999999E-2</v>
      </c>
      <c r="W171" s="204">
        <f t="shared" ca="1" si="31"/>
        <v>20.614625849999996</v>
      </c>
      <c r="Y171" s="209">
        <f t="shared" ca="1" si="27"/>
        <v>454.81800000000004</v>
      </c>
      <c r="Z171" s="118">
        <f t="shared" ca="1" si="32"/>
        <v>4.532499999999999E-2</v>
      </c>
      <c r="AA171" s="204">
        <f t="shared" ca="1" si="33"/>
        <v>20.614625849999996</v>
      </c>
      <c r="AC171" s="209">
        <f t="shared" ca="1" si="34"/>
        <v>0.14874999999999999</v>
      </c>
      <c r="AD171" s="118">
        <f t="shared" ca="1" si="35"/>
        <v>0</v>
      </c>
      <c r="AE171" s="118">
        <f t="shared" ca="1" si="36"/>
        <v>0.14874999999999999</v>
      </c>
      <c r="AF171" s="118">
        <f t="shared" ca="1" si="28"/>
        <v>0.19263529411764707</v>
      </c>
      <c r="AG171" s="118">
        <f t="shared" ca="1" si="29"/>
        <v>241.24360000000001</v>
      </c>
      <c r="AH171" s="204">
        <f t="shared" ca="1" si="37"/>
        <v>35.884985499999999</v>
      </c>
      <c r="AI171" s="259"/>
    </row>
    <row r="172" spans="3:35" x14ac:dyDescent="0.2">
      <c r="C172" s="194">
        <v>0</v>
      </c>
      <c r="K172" s="146" t="s">
        <v>226</v>
      </c>
      <c r="L172" s="146"/>
      <c r="M172" s="341" t="str">
        <f ca="1">OFFSET(rL1.Slab01Head,rF1.SlabTypeSelection,rF1.ColumnPlacementFactor,1,1)</f>
        <v>zweiachsig gespannte Stahlbetondecke</v>
      </c>
      <c r="N172" s="341" t="str">
        <f ca="1">OFFSET(rL1.Slab02Head,rF1.SlabTypeSelection,rF1.ColumnPlacementFactor,1,1)</f>
        <v>zweiachsig gespannte Stahlbetondecke</v>
      </c>
      <c r="O172" s="341" t="str">
        <f ca="1">OFFSET(rF1.Slab03List,MIN(rF1.SlabTypeSelection*1,COUNTA(rF1.Slab03List))-1,rF1.ColumnPlacementFactor,1,1)</f>
        <v>nicht vorhanden</v>
      </c>
      <c r="P172" s="341" t="str">
        <f ca="1">OFFSET(rF1.Slab04List,MIN(rF1.SlabTypeSelection*1,COUNTA(rF1.Slab04List))-1,rF1.ColumnPlacementFactor,1,1)</f>
        <v>nicht vorhanden</v>
      </c>
      <c r="Q172" s="319"/>
      <c r="R172" s="403"/>
      <c r="S172" s="155"/>
      <c r="T172" s="238">
        <v>0.71</v>
      </c>
      <c r="U172" s="209">
        <f t="shared" ca="1" si="26"/>
        <v>461.31540000000007</v>
      </c>
      <c r="V172" s="118">
        <f t="shared" ca="1" si="30"/>
        <v>4.4222499999999984E-2</v>
      </c>
      <c r="W172" s="204">
        <f t="shared" ca="1" si="31"/>
        <v>20.400520276499996</v>
      </c>
      <c r="Y172" s="209">
        <f t="shared" ca="1" si="27"/>
        <v>461.31540000000007</v>
      </c>
      <c r="Z172" s="118">
        <f t="shared" ca="1" si="32"/>
        <v>4.4222499999999984E-2</v>
      </c>
      <c r="AA172" s="204">
        <f t="shared" ca="1" si="33"/>
        <v>20.400520276499996</v>
      </c>
      <c r="AC172" s="209">
        <f t="shared" ca="1" si="34"/>
        <v>0.15087499999999998</v>
      </c>
      <c r="AD172" s="118">
        <f t="shared" ca="1" si="35"/>
        <v>0</v>
      </c>
      <c r="AE172" s="118">
        <f t="shared" ca="1" si="36"/>
        <v>0.15087499999999998</v>
      </c>
      <c r="AF172" s="118">
        <f t="shared" ca="1" si="28"/>
        <v>0.18123529411764705</v>
      </c>
      <c r="AG172" s="118">
        <f t="shared" ca="1" si="29"/>
        <v>226.96700000000001</v>
      </c>
      <c r="AH172" s="204">
        <f t="shared" ca="1" si="37"/>
        <v>34.243646124999998</v>
      </c>
      <c r="AI172" s="259"/>
    </row>
    <row r="173" spans="3:35" x14ac:dyDescent="0.2">
      <c r="C173" s="308">
        <v>0</v>
      </c>
      <c r="K173" s="266" t="s">
        <v>219</v>
      </c>
      <c r="L173" s="266"/>
      <c r="M173" s="342" t="str">
        <f ca="1">IF(rF1.CheckWoodenSlab01,"-",OFFSET(rL1.SlabBearingHead,rF1.SlabBearingSelection,rF1.ColumnPlacementFactor,1,1))</f>
        <v>eingespannt</v>
      </c>
      <c r="N173" s="342" t="str">
        <f ca="1">IF(rF1.CheckWoodenSlab02,"-",OFFSET(rL1.SlabBearingHead,rF1.SlabBearingSelection,rF1.ColumnPlacementFactor,1,1))</f>
        <v>eingespannt</v>
      </c>
      <c r="O173" s="342" t="str">
        <f ca="1">IF(OR(rF1.CheckWoodenSlab03,rF1.SlabType=rP1.CheckWordCantilever),"-",OFFSET(rL1.SlabBearingHead,rF1.SlabBearingSelection,rF1.ColumnPlacementFactor,1,1))</f>
        <v>eingespannt</v>
      </c>
      <c r="P173" s="342" t="str">
        <f ca="1">IF(OR(rF1.CheckWoodenSlab04,rF1.SlabType=rP1.CheckWordCantilever),"-",OFFSET(rL1.SlabBearingHead,rF1.SlabBearingSelection,rF1.ColumnPlacementFactor,1,1))</f>
        <v>eingespannt</v>
      </c>
      <c r="Q173" s="309"/>
      <c r="S173" s="155"/>
      <c r="T173" s="238">
        <v>0.72</v>
      </c>
      <c r="U173" s="209">
        <f t="shared" ca="1" si="26"/>
        <v>467.8128000000001</v>
      </c>
      <c r="V173" s="118">
        <f t="shared" ca="1" si="30"/>
        <v>4.3119999999999992E-2</v>
      </c>
      <c r="W173" s="204">
        <f t="shared" ca="1" si="31"/>
        <v>20.172087936</v>
      </c>
      <c r="Y173" s="209">
        <f t="shared" ca="1" si="27"/>
        <v>467.8128000000001</v>
      </c>
      <c r="Z173" s="118">
        <f t="shared" ca="1" si="32"/>
        <v>4.3119999999999992E-2</v>
      </c>
      <c r="AA173" s="204">
        <f t="shared" ca="1" si="33"/>
        <v>20.172087936</v>
      </c>
      <c r="AC173" s="209">
        <f t="shared" ca="1" si="34"/>
        <v>0.153</v>
      </c>
      <c r="AD173" s="118">
        <f t="shared" ca="1" si="35"/>
        <v>0</v>
      </c>
      <c r="AE173" s="118">
        <f t="shared" ca="1" si="36"/>
        <v>0.153</v>
      </c>
      <c r="AF173" s="118">
        <f t="shared" ca="1" si="28"/>
        <v>0.16983529411764703</v>
      </c>
      <c r="AG173" s="118">
        <f t="shared" ca="1" si="29"/>
        <v>212.69039999999995</v>
      </c>
      <c r="AH173" s="204">
        <f t="shared" ca="1" si="37"/>
        <v>32.541631199999991</v>
      </c>
      <c r="AI173" s="259"/>
    </row>
    <row r="174" spans="3:35" ht="15.75" x14ac:dyDescent="0.2">
      <c r="C174" s="308">
        <v>1</v>
      </c>
      <c r="K174" s="146" t="s">
        <v>281</v>
      </c>
      <c r="L174" s="146" t="s">
        <v>50</v>
      </c>
      <c r="M174" s="336">
        <f ca="1">IF(rF1.CheckWoodenSlab01,"-",IF(rF1.SlabType=rP1.CheckWordCantilever,rP1.StiffnessFactorBearingCantilever,OFFSET(rL1.SlabBearingHead,rF1.SlabBearingSelection,rF1.ColumnPlacementFactor,1,1)))</f>
        <v>4</v>
      </c>
      <c r="N174" s="336">
        <f ca="1">IF(rF1.CheckWoodenSlab02,"-",IF(rF1.SlabType=rP1.CheckWordCantilever,rP1.StiffnessFactorBearingCantilever,OFFSET(rL1.SlabBearingHead,rF1.SlabBearingSelection,rF1.ColumnPlacementFactor,1,1)))</f>
        <v>4</v>
      </c>
      <c r="O174" s="336">
        <f ca="1">IF(rF1.CheckWoodenSlab03,"-",IF(rF1.SlabType=rP1.CheckWordCantilever,rP1.StiffnessFactorBearingCantilever,OFFSET(rL1.SlabBearingHead,rF1.SlabBearingSelection,rF1.ColumnPlacementFactor,1,1)))</f>
        <v>4</v>
      </c>
      <c r="P174" s="336">
        <f ca="1">IF(rF1.CheckWoodenSlab04,"-",IF(rF1.SlabType=rP1.CheckWordCantilever,rP1.StiffnessFactorBearingCantilever,OFFSET(rL1.SlabBearingHead,rF1.SlabBearingSelection,rF1.ColumnPlacementFactor,1,1)))</f>
        <v>4</v>
      </c>
      <c r="Q174" s="336"/>
      <c r="R174" s="403"/>
      <c r="S174" s="155"/>
      <c r="T174" s="238">
        <v>0.73</v>
      </c>
      <c r="U174" s="209">
        <f t="shared" ca="1" si="26"/>
        <v>474.31020000000007</v>
      </c>
      <c r="V174" s="118">
        <f t="shared" ca="1" si="30"/>
        <v>4.2017499999999985E-2</v>
      </c>
      <c r="W174" s="204">
        <f t="shared" ca="1" si="31"/>
        <v>19.929328828499997</v>
      </c>
      <c r="Y174" s="209">
        <f t="shared" ca="1" si="27"/>
        <v>474.31020000000007</v>
      </c>
      <c r="Z174" s="118">
        <f t="shared" ca="1" si="32"/>
        <v>4.2017499999999985E-2</v>
      </c>
      <c r="AA174" s="204">
        <f t="shared" ca="1" si="33"/>
        <v>19.929328828499997</v>
      </c>
      <c r="AC174" s="209">
        <f t="shared" ca="1" si="34"/>
        <v>0.15512499999999999</v>
      </c>
      <c r="AD174" s="118">
        <f t="shared" ca="1" si="35"/>
        <v>0</v>
      </c>
      <c r="AE174" s="118">
        <f t="shared" ca="1" si="36"/>
        <v>0.15512499999999999</v>
      </c>
      <c r="AF174" s="118">
        <f t="shared" ca="1" si="28"/>
        <v>0.15843529411764706</v>
      </c>
      <c r="AG174" s="118">
        <f t="shared" ca="1" si="29"/>
        <v>198.41380000000001</v>
      </c>
      <c r="AH174" s="204">
        <f t="shared" ca="1" si="37"/>
        <v>30.778940724999998</v>
      </c>
      <c r="AI174" s="259"/>
    </row>
    <row r="175" spans="3:35" x14ac:dyDescent="0.2">
      <c r="C175" s="308">
        <v>1</v>
      </c>
      <c r="K175" s="266" t="s">
        <v>291</v>
      </c>
      <c r="L175" s="266"/>
      <c r="M175" s="343">
        <f ca="1">OFFSET(rL1.Slab01Head,rF1.SlabTypeSelection,rF1.ColumnPlacementFactor,1,1)</f>
        <v>1.5</v>
      </c>
      <c r="N175" s="343">
        <f ca="1">OFFSET(rL1.Slab02Head,rF1.SlabTypeSelection,rF1.ColumnPlacementFactor,1,1)</f>
        <v>1.5</v>
      </c>
      <c r="O175" s="343">
        <f ca="1">OFFSET(rL1.Slab03Head,rF1.SlabTypeSelection,rF1.ColumnPlacementFactor,1,1)</f>
        <v>0</v>
      </c>
      <c r="P175" s="343">
        <f ca="1">OFFSET(rL1.Slab04Head,rF1.SlabTypeSelection,rF1.ColumnPlacementFactor,1,1)</f>
        <v>0</v>
      </c>
      <c r="Q175" s="309"/>
      <c r="R175" s="403"/>
      <c r="S175" s="155"/>
      <c r="T175" s="238">
        <v>0.74</v>
      </c>
      <c r="U175" s="209">
        <f t="shared" ca="1" si="26"/>
        <v>480.80760000000009</v>
      </c>
      <c r="V175" s="118">
        <f t="shared" ca="1" si="30"/>
        <v>4.0914999999999979E-2</v>
      </c>
      <c r="W175" s="204">
        <f t="shared" ca="1" si="31"/>
        <v>19.672242953999994</v>
      </c>
      <c r="Y175" s="209">
        <f t="shared" ca="1" si="27"/>
        <v>480.80760000000009</v>
      </c>
      <c r="Z175" s="118">
        <f t="shared" ca="1" si="32"/>
        <v>4.0914999999999979E-2</v>
      </c>
      <c r="AA175" s="204">
        <f t="shared" ca="1" si="33"/>
        <v>19.672242953999994</v>
      </c>
      <c r="AC175" s="209">
        <f t="shared" ca="1" si="34"/>
        <v>0.15725</v>
      </c>
      <c r="AD175" s="118">
        <f t="shared" ca="1" si="35"/>
        <v>0</v>
      </c>
      <c r="AE175" s="118">
        <f t="shared" ca="1" si="36"/>
        <v>0.15725</v>
      </c>
      <c r="AF175" s="118">
        <f t="shared" ca="1" si="28"/>
        <v>0.14703529411764704</v>
      </c>
      <c r="AG175" s="118">
        <f t="shared" ca="1" si="29"/>
        <v>184.13719999999998</v>
      </c>
      <c r="AH175" s="204">
        <f t="shared" ca="1" si="37"/>
        <v>28.955574699999996</v>
      </c>
      <c r="AI175" s="259"/>
    </row>
    <row r="176" spans="3:35" ht="15.75" x14ac:dyDescent="0.2">
      <c r="C176" s="308"/>
      <c r="K176" s="146" t="s">
        <v>227</v>
      </c>
      <c r="L176" s="146" t="s">
        <v>3</v>
      </c>
      <c r="M176" s="318">
        <f>rF1.SlabSpanPerpendicular</f>
        <v>5.5</v>
      </c>
      <c r="N176" s="318">
        <f>rF1.SlabSpanPerpendicular</f>
        <v>5.5</v>
      </c>
      <c r="O176" s="318">
        <f>rF1.SlabSpanPerpendicular</f>
        <v>5</v>
      </c>
      <c r="P176" s="318">
        <f>rF1.SlabSpanPerpendicular</f>
        <v>2.5</v>
      </c>
      <c r="Q176" s="319"/>
      <c r="R176" s="404"/>
      <c r="S176" s="155"/>
      <c r="T176" s="238">
        <v>0.75</v>
      </c>
      <c r="U176" s="209">
        <f t="shared" ca="1" si="26"/>
        <v>487.30500000000006</v>
      </c>
      <c r="V176" s="118">
        <f t="shared" ca="1" si="30"/>
        <v>3.9812499999999987E-2</v>
      </c>
      <c r="W176" s="204">
        <f t="shared" ca="1" si="31"/>
        <v>19.400830312499995</v>
      </c>
      <c r="Y176" s="209">
        <f t="shared" ca="1" si="27"/>
        <v>487.30500000000006</v>
      </c>
      <c r="Z176" s="118">
        <f t="shared" ca="1" si="32"/>
        <v>3.9812499999999987E-2</v>
      </c>
      <c r="AA176" s="204">
        <f t="shared" ca="1" si="33"/>
        <v>19.400830312499995</v>
      </c>
      <c r="AC176" s="209">
        <f t="shared" ca="1" si="34"/>
        <v>0.15937499999999999</v>
      </c>
      <c r="AD176" s="118">
        <f t="shared" ca="1" si="35"/>
        <v>0</v>
      </c>
      <c r="AE176" s="118">
        <f t="shared" ca="1" si="36"/>
        <v>0.15937499999999999</v>
      </c>
      <c r="AF176" s="118">
        <f t="shared" ca="1" si="28"/>
        <v>0.13563529411764702</v>
      </c>
      <c r="AG176" s="118">
        <f t="shared" ca="1" si="29"/>
        <v>169.86059999999992</v>
      </c>
      <c r="AH176" s="204">
        <f t="shared" ca="1" si="37"/>
        <v>27.071533124999984</v>
      </c>
      <c r="AI176" s="259"/>
    </row>
    <row r="177" spans="3:35" ht="15.75" x14ac:dyDescent="0.2">
      <c r="C177" s="308"/>
      <c r="K177" s="266" t="s">
        <v>228</v>
      </c>
      <c r="L177" s="266" t="s">
        <v>4</v>
      </c>
      <c r="M177" s="320">
        <f>rF1.SlabSpanParallel</f>
        <v>9.5</v>
      </c>
      <c r="N177" s="320">
        <f>rF1.SlabSpanParallel</f>
        <v>9.5</v>
      </c>
      <c r="O177" s="320">
        <f>rF1.SlabSpanParallel</f>
        <v>10</v>
      </c>
      <c r="P177" s="320">
        <f>rF1.SlabSpanParallel</f>
        <v>10</v>
      </c>
      <c r="Q177" s="309"/>
      <c r="R177" s="403"/>
      <c r="S177" s="155"/>
      <c r="T177" s="238">
        <v>0.76</v>
      </c>
      <c r="U177" s="209">
        <f t="shared" ca="1" si="26"/>
        <v>493.80240000000009</v>
      </c>
      <c r="V177" s="118">
        <f t="shared" ca="1" si="30"/>
        <v>3.8709999999999981E-2</v>
      </c>
      <c r="W177" s="204">
        <f t="shared" ca="1" si="31"/>
        <v>19.115090903999995</v>
      </c>
      <c r="Y177" s="209">
        <f t="shared" ca="1" si="27"/>
        <v>493.80240000000009</v>
      </c>
      <c r="Z177" s="118">
        <f t="shared" ca="1" si="32"/>
        <v>3.8709999999999981E-2</v>
      </c>
      <c r="AA177" s="204">
        <f t="shared" ca="1" si="33"/>
        <v>19.115090903999995</v>
      </c>
      <c r="AC177" s="209">
        <f t="shared" ca="1" si="34"/>
        <v>0.1615</v>
      </c>
      <c r="AD177" s="118">
        <f t="shared" ca="1" si="35"/>
        <v>0</v>
      </c>
      <c r="AE177" s="118">
        <f t="shared" ca="1" si="36"/>
        <v>0.1615</v>
      </c>
      <c r="AF177" s="118">
        <f t="shared" ca="1" si="28"/>
        <v>0.124235294117647</v>
      </c>
      <c r="AG177" s="118">
        <f t="shared" ca="1" si="29"/>
        <v>155.58399999999992</v>
      </c>
      <c r="AH177" s="204">
        <f t="shared" ca="1" si="37"/>
        <v>25.126815999999987</v>
      </c>
      <c r="AI177" s="259"/>
    </row>
    <row r="178" spans="3:35" x14ac:dyDescent="0.2">
      <c r="C178" s="308"/>
      <c r="K178" s="146" t="s">
        <v>229</v>
      </c>
      <c r="L178" s="146" t="s">
        <v>136</v>
      </c>
      <c r="M178" s="318">
        <f>rF1.SlabInfluenceWidth</f>
        <v>3.2</v>
      </c>
      <c r="N178" s="318">
        <f>rF1.SlabInfluenceWidth</f>
        <v>3.2</v>
      </c>
      <c r="O178" s="318">
        <f>rF1.SlabInfluenceWidth</f>
        <v>3.2</v>
      </c>
      <c r="P178" s="318">
        <f>rF1.SlabInfluenceWidth</f>
        <v>3.2</v>
      </c>
      <c r="Q178" s="319"/>
      <c r="R178" s="403"/>
      <c r="S178" s="155"/>
      <c r="T178" s="238">
        <v>0.77</v>
      </c>
      <c r="U178" s="209">
        <f t="shared" ca="1" si="26"/>
        <v>500.29980000000012</v>
      </c>
      <c r="V178" s="118">
        <f t="shared" ca="1" si="30"/>
        <v>3.7607499999999988E-2</v>
      </c>
      <c r="W178" s="204">
        <f t="shared" ca="1" si="31"/>
        <v>18.815024728499999</v>
      </c>
      <c r="Y178" s="209">
        <f t="shared" ca="1" si="27"/>
        <v>500.29980000000012</v>
      </c>
      <c r="Z178" s="118">
        <f t="shared" ca="1" si="32"/>
        <v>3.7607499999999988E-2</v>
      </c>
      <c r="AA178" s="204">
        <f t="shared" ca="1" si="33"/>
        <v>18.815024728499999</v>
      </c>
      <c r="AC178" s="209">
        <f t="shared" ca="1" si="34"/>
        <v>0.16362499999999999</v>
      </c>
      <c r="AD178" s="118">
        <f t="shared" ca="1" si="35"/>
        <v>0</v>
      </c>
      <c r="AE178" s="118">
        <f t="shared" ca="1" si="36"/>
        <v>0.16362499999999999</v>
      </c>
      <c r="AF178" s="118">
        <f t="shared" ca="1" si="28"/>
        <v>0.11283529411764698</v>
      </c>
      <c r="AG178" s="118">
        <f t="shared" ca="1" si="29"/>
        <v>141.30739999999989</v>
      </c>
      <c r="AH178" s="204">
        <f t="shared" ca="1" si="37"/>
        <v>23.121423324999981</v>
      </c>
      <c r="AI178" s="259"/>
    </row>
    <row r="179" spans="3:35" ht="15.75" x14ac:dyDescent="0.2">
      <c r="C179" s="308"/>
      <c r="K179" s="266" t="s">
        <v>230</v>
      </c>
      <c r="L179" s="266" t="s">
        <v>5</v>
      </c>
      <c r="M179" s="320">
        <f>rF1.SlabThickness</f>
        <v>0.2</v>
      </c>
      <c r="N179" s="320">
        <f>rF1.SlabThickness</f>
        <v>0.2</v>
      </c>
      <c r="O179" s="320">
        <f>rF1.SlabThickness</f>
        <v>0.25</v>
      </c>
      <c r="P179" s="320">
        <f>rF1.SlabThickness</f>
        <v>0.25</v>
      </c>
      <c r="Q179" s="309"/>
      <c r="R179" s="403"/>
      <c r="S179" s="155"/>
      <c r="T179" s="238">
        <v>0.78</v>
      </c>
      <c r="U179" s="209">
        <f t="shared" ca="1" si="26"/>
        <v>506.79720000000009</v>
      </c>
      <c r="V179" s="118">
        <f t="shared" ca="1" si="30"/>
        <v>3.6504999999999982E-2</v>
      </c>
      <c r="W179" s="204">
        <f t="shared" ca="1" si="31"/>
        <v>18.500631785999992</v>
      </c>
      <c r="Y179" s="209">
        <f t="shared" ca="1" si="27"/>
        <v>506.79720000000009</v>
      </c>
      <c r="Z179" s="118">
        <f t="shared" ca="1" si="32"/>
        <v>3.6504999999999982E-2</v>
      </c>
      <c r="AA179" s="204">
        <f t="shared" ca="1" si="33"/>
        <v>18.500631785999992</v>
      </c>
      <c r="AC179" s="209">
        <f t="shared" ca="1" si="34"/>
        <v>0.16575000000000001</v>
      </c>
      <c r="AD179" s="118">
        <f t="shared" ca="1" si="35"/>
        <v>0</v>
      </c>
      <c r="AE179" s="118">
        <f t="shared" ca="1" si="36"/>
        <v>0.16575000000000001</v>
      </c>
      <c r="AF179" s="118">
        <f t="shared" ca="1" si="28"/>
        <v>0.10143529411764701</v>
      </c>
      <c r="AG179" s="118">
        <f t="shared" ca="1" si="29"/>
        <v>127.03079999999994</v>
      </c>
      <c r="AH179" s="204">
        <f t="shared" ca="1" si="37"/>
        <v>21.055355099999993</v>
      </c>
      <c r="AI179" s="259"/>
    </row>
    <row r="180" spans="3:35" ht="15.75" x14ac:dyDescent="0.2">
      <c r="C180" s="308"/>
      <c r="K180" s="146" t="s">
        <v>292</v>
      </c>
      <c r="L180" s="146" t="s">
        <v>51</v>
      </c>
      <c r="M180" s="334">
        <f>rF1.SlabInfluenceWidth*rF1.SlabThickness^3/12</f>
        <v>2.1333333333333339E-3</v>
      </c>
      <c r="N180" s="334">
        <f>rF1.SlabInfluenceWidth*rF1.SlabThickness^3/12</f>
        <v>2.1333333333333339E-3</v>
      </c>
      <c r="O180" s="334">
        <f>rF1.SlabInfluenceWidth*rF1.SlabThickness^3/12</f>
        <v>4.1666666666666666E-3</v>
      </c>
      <c r="P180" s="334">
        <f>rF1.SlabInfluenceWidth*rF1.SlabThickness^3/12</f>
        <v>4.1666666666666666E-3</v>
      </c>
      <c r="Q180" s="319"/>
      <c r="R180" s="403"/>
      <c r="S180" s="155"/>
      <c r="T180" s="238">
        <v>0.79</v>
      </c>
      <c r="U180" s="209">
        <f t="shared" ca="1" si="26"/>
        <v>513.29460000000017</v>
      </c>
      <c r="V180" s="118">
        <f t="shared" ca="1" si="30"/>
        <v>3.5402499999999962E-2</v>
      </c>
      <c r="W180" s="204">
        <f t="shared" ca="1" si="31"/>
        <v>18.171912076499986</v>
      </c>
      <c r="Y180" s="209">
        <f t="shared" ca="1" si="27"/>
        <v>513.29460000000017</v>
      </c>
      <c r="Z180" s="118">
        <f t="shared" ca="1" si="32"/>
        <v>3.5402499999999962E-2</v>
      </c>
      <c r="AA180" s="204">
        <f t="shared" ca="1" si="33"/>
        <v>18.171912076499986</v>
      </c>
      <c r="AC180" s="209">
        <f t="shared" ca="1" si="34"/>
        <v>0.167875</v>
      </c>
      <c r="AD180" s="118">
        <f t="shared" ca="1" si="35"/>
        <v>0</v>
      </c>
      <c r="AE180" s="118">
        <f t="shared" ca="1" si="36"/>
        <v>0.167875</v>
      </c>
      <c r="AF180" s="118">
        <f t="shared" ca="1" si="28"/>
        <v>9.0035294117646991E-2</v>
      </c>
      <c r="AG180" s="118">
        <f t="shared" ca="1" si="29"/>
        <v>112.75419999999993</v>
      </c>
      <c r="AH180" s="204">
        <f t="shared" ca="1" si="37"/>
        <v>18.928611324999988</v>
      </c>
      <c r="AI180" s="259"/>
    </row>
    <row r="181" spans="3:35" x14ac:dyDescent="0.2">
      <c r="C181" s="308">
        <v>0</v>
      </c>
      <c r="K181" s="266" t="s">
        <v>231</v>
      </c>
      <c r="L181" s="266"/>
      <c r="M181" s="342" t="str">
        <f ca="1">IF(rF1.CheckWoodenSlab01=1,"-",OFFSET(rD3.Knoten,rF1.ConcreteTypeSelection,rF1.ColumnPlacementFactor,1,1))</f>
        <v>C20/25</v>
      </c>
      <c r="N181" s="342" t="str">
        <f ca="1">IF(rF1.CheckWoodenSlab02=1,"-",OFFSET(rD3.Knoten,rF1.ConcreteTypeSelection,rF1.ColumnPlacementFactor,1,1))</f>
        <v>C20/25</v>
      </c>
      <c r="O181" s="342" t="str">
        <f ca="1">IF(rF1.CheckWoodenSlab03=1,"-",OFFSET(rD3.Knoten,rF1.ConcreteTypeSelection,rF1.ColumnPlacementFactor,1,1))</f>
        <v>C12/15</v>
      </c>
      <c r="P181" s="342" t="str">
        <f ca="1">IF(rF1.CheckWoodenSlab04=1,"-",OFFSET(rD3.Knoten,rF1.ConcreteTypeSelection,rF1.ColumnPlacementFactor,1,1))</f>
        <v>C20/25</v>
      </c>
      <c r="Q181" s="309"/>
      <c r="R181" s="403"/>
      <c r="S181" s="155"/>
      <c r="T181" s="238">
        <v>0.8</v>
      </c>
      <c r="U181" s="209">
        <f t="shared" ca="1" si="26"/>
        <v>519.79200000000014</v>
      </c>
      <c r="V181" s="118">
        <f t="shared" ca="1" si="30"/>
        <v>3.4299999999999969E-2</v>
      </c>
      <c r="W181" s="204">
        <f t="shared" ca="1" si="31"/>
        <v>17.82886559999999</v>
      </c>
      <c r="Y181" s="209">
        <f t="shared" ca="1" si="27"/>
        <v>519.79200000000014</v>
      </c>
      <c r="Z181" s="118">
        <f t="shared" ca="1" si="32"/>
        <v>3.4299999999999969E-2</v>
      </c>
      <c r="AA181" s="204">
        <f t="shared" ca="1" si="33"/>
        <v>17.82886559999999</v>
      </c>
      <c r="AC181" s="209">
        <f t="shared" ca="1" si="34"/>
        <v>0.17</v>
      </c>
      <c r="AD181" s="118">
        <f t="shared" ca="1" si="35"/>
        <v>0</v>
      </c>
      <c r="AE181" s="118">
        <f t="shared" ca="1" si="36"/>
        <v>0.17</v>
      </c>
      <c r="AF181" s="118">
        <f t="shared" ca="1" si="28"/>
        <v>7.863529411764697E-2</v>
      </c>
      <c r="AG181" s="118">
        <f t="shared" ca="1" si="29"/>
        <v>98.477599999999882</v>
      </c>
      <c r="AH181" s="204">
        <f t="shared" ca="1" si="37"/>
        <v>16.74119199999998</v>
      </c>
      <c r="AI181" s="259"/>
    </row>
    <row r="182" spans="3:35" ht="15.75" x14ac:dyDescent="0.2">
      <c r="C182" s="308">
        <v>4</v>
      </c>
      <c r="K182" s="146" t="s">
        <v>293</v>
      </c>
      <c r="L182" s="146" t="s">
        <v>52</v>
      </c>
      <c r="M182" s="344">
        <f ca="1">IF(rF1.CheckWoodenSlab01=1,"-",OFFSET(rD3.Knoten,rF1.ConcreteTypeSelection,rF1.ColumnPlacementFactor,1,1))</f>
        <v>30000</v>
      </c>
      <c r="N182" s="344">
        <f ca="1">IF(rF1.CheckWoodenSlab02=1,"-",OFFSET(rD3.Knoten,rF1.ConcreteTypeSelection,rF1.ColumnPlacementFactor,1,1))</f>
        <v>30000</v>
      </c>
      <c r="O182" s="344">
        <f ca="1">IF(rF1.CheckWoodenSlab03=1,"-",OFFSET(rD3.Knoten,rF1.ConcreteTypeSelection,rF1.ColumnPlacementFactor,1,1))</f>
        <v>27000</v>
      </c>
      <c r="P182" s="344">
        <f ca="1">IF(rF1.CheckWoodenSlab04=1,"-",OFFSET(rD3.Knoten,rF1.ConcreteTypeSelection,rF1.ColumnPlacementFactor,1,1))</f>
        <v>30000</v>
      </c>
      <c r="Q182" s="319"/>
      <c r="R182" s="403"/>
      <c r="S182" s="155"/>
      <c r="T182" s="238">
        <v>0.81</v>
      </c>
      <c r="U182" s="209">
        <f t="shared" ca="1" si="26"/>
        <v>526.28940000000011</v>
      </c>
      <c r="V182" s="118">
        <f t="shared" ca="1" si="30"/>
        <v>3.3197499999999977E-2</v>
      </c>
      <c r="W182" s="204">
        <f t="shared" ca="1" si="31"/>
        <v>17.47149235649999</v>
      </c>
      <c r="Y182" s="209">
        <f t="shared" ca="1" si="27"/>
        <v>526.28940000000011</v>
      </c>
      <c r="Z182" s="118">
        <f t="shared" ca="1" si="32"/>
        <v>3.3197499999999977E-2</v>
      </c>
      <c r="AA182" s="204">
        <f t="shared" ca="1" si="33"/>
        <v>17.47149235649999</v>
      </c>
      <c r="AC182" s="209">
        <f t="shared" ca="1" si="34"/>
        <v>0.172125</v>
      </c>
      <c r="AD182" s="118">
        <f t="shared" ca="1" si="35"/>
        <v>0</v>
      </c>
      <c r="AE182" s="118">
        <f t="shared" ca="1" si="36"/>
        <v>0.172125</v>
      </c>
      <c r="AF182" s="118">
        <f t="shared" ca="1" si="28"/>
        <v>6.7235294117646976E-2</v>
      </c>
      <c r="AG182" s="118">
        <f t="shared" ca="1" si="29"/>
        <v>84.200999999999894</v>
      </c>
      <c r="AH182" s="204">
        <f t="shared" ca="1" si="37"/>
        <v>14.493097124999982</v>
      </c>
      <c r="AI182" s="259"/>
    </row>
    <row r="183" spans="3:35" ht="15.75" x14ac:dyDescent="0.2">
      <c r="C183" s="308"/>
      <c r="K183" s="266" t="s">
        <v>294</v>
      </c>
      <c r="L183" s="266" t="s">
        <v>53</v>
      </c>
      <c r="M183" s="339">
        <f ca="1">IF(rF1.CheckWoodenSlab01=1,"-",IF(ISNUMBER(rF1.SlabStiffnessType)=FALSE,rF1.SlabStiffnessType,IF(rF1.SlabType=rP1.CheckWordCantilever,0,rF1.SlabStiffnessBearing*rF1.ConcreteElasticity*1000*rF1.InertiaSlab/IF(rF1.SlabStiffnessType=1.5,MIN(rF1.SlabSpanPerpendicular*1,rF1.SlabSpanParallel*1),rF1.SlabSpanPerpendicular))))</f>
        <v>46545.454545454559</v>
      </c>
      <c r="N183" s="339">
        <f ca="1">IF(rF1.CheckWoodenSlab02=1,"-",IF(ISNUMBER(rF1.SlabStiffnessType)=FALSE,rF1.SlabStiffnessType,IF(rF1.SlabType=rP1.CheckWordCantilever,0,rF1.SlabStiffnessBearing*rF1.ConcreteElasticity*1000*rF1.InertiaSlab/IF(rF1.SlabStiffnessType=1.5,MIN(rF1.SlabSpanPerpendicular*1,rF1.SlabSpanParallel*1),rF1.SlabSpanPerpendicular))))</f>
        <v>46545.454545454559</v>
      </c>
      <c r="O183" s="339">
        <f ca="1">IF(rF1.CheckWoodenSlab03=1,"-",IF(ISNUMBER(rF1.SlabStiffnessType)=FALSE,rF1.SlabStiffnessType,IF(OR(rF1.CheckSlabExisting03=0,rF1.SlabType=rP1.CheckWordCantilever),0,rF1.SlabStiffnessBearing*rF1.ConcreteElasticity*1000*rF1.InertiaSlab/IF(rF1.SlabStiffnessType=1.5,MIN(rF1.SlabSpanPerpendicular*1,rF1.SlabSpanParallel*1),rF1.SlabSpanPerpendicular))))</f>
        <v>0</v>
      </c>
      <c r="P183" s="339">
        <f ca="1">IF(rF1.CheckWoodenSlab04=1,"-",IF(ISNUMBER(rF1.SlabStiffnessType)=FALSE,rF1.SlabStiffnessType,IF(OR(rF1.CheckSlabExisting04=0,rF1.SlabType=rP1.CheckWordCantilever),0,rF1.SlabStiffnessBearing*rF1.ConcreteElasticity*1000*rF1.InertiaSlab/IF(rF1.SlabStiffnessType=1.5,MIN(rF1.SlabSpanPerpendicular*1,rF1.SlabSpanParallel*1),rF1.SlabSpanPerpendicular))))</f>
        <v>0</v>
      </c>
      <c r="Q183" s="309"/>
      <c r="R183" s="403"/>
      <c r="S183" s="155"/>
      <c r="T183" s="238">
        <v>0.82</v>
      </c>
      <c r="U183" s="209">
        <f t="shared" ca="1" si="26"/>
        <v>532.78680000000008</v>
      </c>
      <c r="V183" s="118">
        <f t="shared" ca="1" si="30"/>
        <v>3.2094999999999985E-2</v>
      </c>
      <c r="W183" s="204">
        <f t="shared" ca="1" si="31"/>
        <v>17.099792345999994</v>
      </c>
      <c r="Y183" s="209">
        <f t="shared" ca="1" si="27"/>
        <v>532.78680000000008</v>
      </c>
      <c r="Z183" s="118">
        <f t="shared" ca="1" si="32"/>
        <v>3.2094999999999985E-2</v>
      </c>
      <c r="AA183" s="204">
        <f t="shared" ca="1" si="33"/>
        <v>17.099792345999994</v>
      </c>
      <c r="AC183" s="209">
        <f t="shared" ca="1" si="34"/>
        <v>0.17424999999999999</v>
      </c>
      <c r="AD183" s="118">
        <f t="shared" ca="1" si="35"/>
        <v>0</v>
      </c>
      <c r="AE183" s="118">
        <f t="shared" ca="1" si="36"/>
        <v>0.17424999999999999</v>
      </c>
      <c r="AF183" s="118">
        <f t="shared" ca="1" si="28"/>
        <v>5.5835294117647094E-2</v>
      </c>
      <c r="AG183" s="118">
        <f t="shared" ca="1" si="29"/>
        <v>69.924400000000034</v>
      </c>
      <c r="AH183" s="204">
        <f t="shared" ca="1" si="37"/>
        <v>12.184326700000005</v>
      </c>
      <c r="AI183" s="259"/>
    </row>
    <row r="184" spans="3:35" ht="15.75" x14ac:dyDescent="0.2">
      <c r="C184" s="308"/>
      <c r="K184" s="146" t="s">
        <v>295</v>
      </c>
      <c r="L184" s="146" t="s">
        <v>182</v>
      </c>
      <c r="M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3.6666666666666665</v>
      </c>
      <c r="N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3.6666666666666665</v>
      </c>
      <c r="O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5</v>
      </c>
      <c r="P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2.5</v>
      </c>
      <c r="Q184" s="319"/>
      <c r="R184" s="403"/>
      <c r="S184" s="155"/>
      <c r="T184" s="238">
        <v>0.83</v>
      </c>
      <c r="U184" s="209">
        <f t="shared" ca="1" si="26"/>
        <v>539.28420000000006</v>
      </c>
      <c r="V184" s="118">
        <f t="shared" ca="1" si="30"/>
        <v>3.0992499999999992E-2</v>
      </c>
      <c r="W184" s="204">
        <f t="shared" ca="1" si="31"/>
        <v>16.713765568499998</v>
      </c>
      <c r="Y184" s="209">
        <f t="shared" ca="1" si="27"/>
        <v>539.28420000000006</v>
      </c>
      <c r="Z184" s="118">
        <f t="shared" ca="1" si="32"/>
        <v>3.0992499999999992E-2</v>
      </c>
      <c r="AA184" s="204">
        <f t="shared" ca="1" si="33"/>
        <v>16.713765568499998</v>
      </c>
      <c r="AC184" s="209">
        <f t="shared" ca="1" si="34"/>
        <v>0.17637499999999998</v>
      </c>
      <c r="AD184" s="118">
        <f t="shared" ca="1" si="35"/>
        <v>0</v>
      </c>
      <c r="AE184" s="118">
        <f t="shared" ca="1" si="36"/>
        <v>0.17637499999999998</v>
      </c>
      <c r="AF184" s="118">
        <f t="shared" ca="1" si="28"/>
        <v>4.4435294117647073E-2</v>
      </c>
      <c r="AG184" s="118">
        <f t="shared" ca="1" si="29"/>
        <v>55.647800000000018</v>
      </c>
      <c r="AH184" s="204">
        <f t="shared" ca="1" si="37"/>
        <v>9.8148807250000019</v>
      </c>
      <c r="AI184" s="259"/>
    </row>
    <row r="185" spans="3:35" ht="15.75" x14ac:dyDescent="0.2">
      <c r="C185" s="313"/>
      <c r="K185" s="266"/>
      <c r="L185" s="266" t="s">
        <v>54</v>
      </c>
      <c r="M185" s="345">
        <f ca="1">IF(rF1.CheckWoodenSlab01=1,"-",((-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-20.220444444444443</v>
      </c>
      <c r="N185" s="345">
        <f ca="1">IF(rF1.CheckWoodenSlab02=1,"-",((-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-23.84148148148148</v>
      </c>
      <c r="O185" s="345">
        <f ca="1">IF(rF1.CheckWoodenSlab03=1,"-",IF(rF1.CheckSlabExisting03=0,0,((-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0</v>
      </c>
      <c r="P185" s="345">
        <f ca="1">IF(rF1.CheckWoodenSlab04=1,"-",IF(rF1.CheckSlabExisting04=0,0,(-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0</v>
      </c>
      <c r="Q185" s="309"/>
      <c r="R185" s="403"/>
      <c r="S185" s="155"/>
      <c r="T185" s="238">
        <v>0.84</v>
      </c>
      <c r="U185" s="209">
        <f t="shared" ca="1" si="26"/>
        <v>545.78160000000014</v>
      </c>
      <c r="V185" s="118">
        <f t="shared" ca="1" si="30"/>
        <v>2.9889999999999986E-2</v>
      </c>
      <c r="W185" s="204">
        <f t="shared" ca="1" si="31"/>
        <v>16.313412023999998</v>
      </c>
      <c r="Y185" s="209">
        <f t="shared" ca="1" si="27"/>
        <v>545.78160000000014</v>
      </c>
      <c r="Z185" s="118">
        <f t="shared" ca="1" si="32"/>
        <v>2.9889999999999986E-2</v>
      </c>
      <c r="AA185" s="204">
        <f t="shared" ca="1" si="33"/>
        <v>16.313412023999998</v>
      </c>
      <c r="AC185" s="209">
        <f t="shared" ca="1" si="34"/>
        <v>0.17849999999999999</v>
      </c>
      <c r="AD185" s="118">
        <f t="shared" ca="1" si="35"/>
        <v>0</v>
      </c>
      <c r="AE185" s="118">
        <f t="shared" ca="1" si="36"/>
        <v>0.17849999999999999</v>
      </c>
      <c r="AF185" s="118">
        <f t="shared" ca="1" si="28"/>
        <v>3.3035294117647052E-2</v>
      </c>
      <c r="AG185" s="118">
        <f t="shared" ca="1" si="29"/>
        <v>41.371199999999988</v>
      </c>
      <c r="AH185" s="204">
        <f t="shared" ca="1" si="37"/>
        <v>7.3847591999999977</v>
      </c>
      <c r="AI185" s="259"/>
    </row>
    <row r="186" spans="3:35" x14ac:dyDescent="0.2">
      <c r="K186" s="140" t="s">
        <v>296</v>
      </c>
      <c r="L186" s="140"/>
      <c r="M186" s="140"/>
      <c r="N186" s="140"/>
      <c r="O186" s="140"/>
      <c r="P186" s="140"/>
      <c r="Q186" s="141"/>
      <c r="R186" s="403"/>
      <c r="S186" s="155"/>
      <c r="T186" s="238">
        <v>0.85</v>
      </c>
      <c r="U186" s="209">
        <f t="shared" ca="1" si="26"/>
        <v>552.27900000000011</v>
      </c>
      <c r="V186" s="118">
        <f t="shared" ca="1" si="30"/>
        <v>2.8787499999999966E-2</v>
      </c>
      <c r="W186" s="204">
        <f t="shared" ca="1" si="31"/>
        <v>15.898731712499984</v>
      </c>
      <c r="Y186" s="209">
        <f t="shared" ca="1" si="27"/>
        <v>552.27900000000011</v>
      </c>
      <c r="Z186" s="118">
        <f t="shared" ca="1" si="32"/>
        <v>2.8787499999999966E-2</v>
      </c>
      <c r="AA186" s="204">
        <f t="shared" ca="1" si="33"/>
        <v>15.898731712499984</v>
      </c>
      <c r="AC186" s="209">
        <f t="shared" ca="1" si="34"/>
        <v>0.18062499999999998</v>
      </c>
      <c r="AD186" s="118">
        <f t="shared" ca="1" si="35"/>
        <v>0</v>
      </c>
      <c r="AE186" s="118">
        <f t="shared" ca="1" si="36"/>
        <v>0.18062499999999998</v>
      </c>
      <c r="AF186" s="118">
        <f t="shared" ca="1" si="28"/>
        <v>2.1635294117647058E-2</v>
      </c>
      <c r="AG186" s="118">
        <f t="shared" ca="1" si="29"/>
        <v>27.0946</v>
      </c>
      <c r="AH186" s="204">
        <f t="shared" ca="1" si="37"/>
        <v>4.8939621249999998</v>
      </c>
      <c r="AI186" s="259"/>
    </row>
    <row r="187" spans="3:35" x14ac:dyDescent="0.2">
      <c r="K187" s="142" t="s">
        <v>297</v>
      </c>
      <c r="L187" s="142"/>
      <c r="M187" s="143" t="s">
        <v>255</v>
      </c>
      <c r="N187" s="143" t="s">
        <v>256</v>
      </c>
      <c r="O187" s="143" t="s">
        <v>257</v>
      </c>
      <c r="P187" s="143" t="s">
        <v>258</v>
      </c>
      <c r="Q187" s="192"/>
      <c r="R187" s="403"/>
      <c r="S187" s="155"/>
      <c r="T187" s="238">
        <v>0.86</v>
      </c>
      <c r="U187" s="209">
        <f t="shared" ca="1" si="26"/>
        <v>558.77640000000008</v>
      </c>
      <c r="V187" s="118">
        <f t="shared" ca="1" si="30"/>
        <v>2.7684999999999987E-2</v>
      </c>
      <c r="W187" s="204">
        <f t="shared" ca="1" si="31"/>
        <v>15.469724633999995</v>
      </c>
      <c r="Y187" s="209">
        <f t="shared" ca="1" si="27"/>
        <v>558.77640000000008</v>
      </c>
      <c r="Z187" s="118">
        <f t="shared" ca="1" si="32"/>
        <v>2.7684999999999987E-2</v>
      </c>
      <c r="AA187" s="204">
        <f t="shared" ca="1" si="33"/>
        <v>15.469724633999995</v>
      </c>
      <c r="AC187" s="209">
        <f t="shared" ca="1" si="34"/>
        <v>0.18275</v>
      </c>
      <c r="AD187" s="118">
        <f t="shared" ca="1" si="35"/>
        <v>0</v>
      </c>
      <c r="AE187" s="118">
        <f t="shared" ca="1" si="36"/>
        <v>0.18275</v>
      </c>
      <c r="AF187" s="118">
        <f t="shared" ca="1" si="28"/>
        <v>1.0235294117647037E-2</v>
      </c>
      <c r="AG187" s="118">
        <f t="shared" ca="1" si="29"/>
        <v>12.817999999999969</v>
      </c>
      <c r="AH187" s="204">
        <f t="shared" ca="1" si="37"/>
        <v>2.3424894999999943</v>
      </c>
      <c r="AI187" s="259"/>
    </row>
    <row r="188" spans="3:35" ht="15.75" x14ac:dyDescent="0.2">
      <c r="K188" s="218" t="s">
        <v>233</v>
      </c>
      <c r="L188" s="146" t="s">
        <v>6</v>
      </c>
      <c r="M188" s="346">
        <f>rF1.DeadLoadDesign</f>
        <v>9.25</v>
      </c>
      <c r="N188" s="346">
        <f>rF1.DeadLoadDesign</f>
        <v>9.25</v>
      </c>
      <c r="O188" s="346">
        <f>rF1.DeadLoadDesign</f>
        <v>8</v>
      </c>
      <c r="P188" s="346">
        <f>rF1.DeadLoadDesign</f>
        <v>5</v>
      </c>
      <c r="Q188" s="319"/>
      <c r="S188" s="155"/>
      <c r="T188" s="238">
        <v>0.87</v>
      </c>
      <c r="U188" s="209">
        <f t="shared" ca="1" si="26"/>
        <v>565.27380000000005</v>
      </c>
      <c r="V188" s="118">
        <f t="shared" ca="1" si="30"/>
        <v>2.6582499999999981E-2</v>
      </c>
      <c r="W188" s="204">
        <f t="shared" ca="1" si="31"/>
        <v>15.02639078849999</v>
      </c>
      <c r="Y188" s="209">
        <f t="shared" ca="1" si="27"/>
        <v>565.27380000000005</v>
      </c>
      <c r="Z188" s="118">
        <f t="shared" ca="1" si="32"/>
        <v>2.6582499999999981E-2</v>
      </c>
      <c r="AA188" s="204">
        <f t="shared" ca="1" si="33"/>
        <v>15.02639078849999</v>
      </c>
      <c r="AC188" s="209">
        <f t="shared" ca="1" si="34"/>
        <v>0.18487499999999998</v>
      </c>
      <c r="AD188" s="118">
        <f t="shared" ca="1" si="35"/>
        <v>0</v>
      </c>
      <c r="AE188" s="118">
        <f t="shared" ca="1" si="36"/>
        <v>0.18487499999999998</v>
      </c>
      <c r="AF188" s="118">
        <f t="shared" ca="1" si="28"/>
        <v>-1.1647058823529566E-3</v>
      </c>
      <c r="AG188" s="118">
        <f t="shared" ca="1" si="29"/>
        <v>-1.4586000000000192</v>
      </c>
      <c r="AH188" s="204">
        <f t="shared" ca="1" si="37"/>
        <v>-0.26965867500000351</v>
      </c>
      <c r="AI188" s="259"/>
    </row>
    <row r="189" spans="3:35" ht="15.75" x14ac:dyDescent="0.2">
      <c r="K189" s="347" t="s">
        <v>234</v>
      </c>
      <c r="L189" s="266" t="s">
        <v>7</v>
      </c>
      <c r="M189" s="348">
        <f>rF1.LiveLoadDesign</f>
        <v>2.0299999999999998</v>
      </c>
      <c r="N189" s="348">
        <f>rF1.LiveLoadDesign</f>
        <v>4.05</v>
      </c>
      <c r="O189" s="348">
        <f>rF1.LiveLoadDesign</f>
        <v>0</v>
      </c>
      <c r="P189" s="348">
        <f>rF1.LiveLoadDesign</f>
        <v>3</v>
      </c>
      <c r="Q189" s="309"/>
      <c r="S189" s="155"/>
      <c r="T189" s="238">
        <v>0.88</v>
      </c>
      <c r="U189" s="209">
        <f t="shared" ca="1" si="26"/>
        <v>571.77120000000014</v>
      </c>
      <c r="V189" s="118">
        <f t="shared" ca="1" si="30"/>
        <v>2.5479999999999975E-2</v>
      </c>
      <c r="W189" s="204">
        <f t="shared" ca="1" si="31"/>
        <v>14.568730175999988</v>
      </c>
      <c r="Y189" s="209">
        <f t="shared" ca="1" si="27"/>
        <v>571.77120000000014</v>
      </c>
      <c r="Z189" s="118">
        <f t="shared" ca="1" si="32"/>
        <v>2.5479999999999975E-2</v>
      </c>
      <c r="AA189" s="204">
        <f t="shared" ca="1" si="33"/>
        <v>14.568730175999988</v>
      </c>
      <c r="AC189" s="209">
        <f t="shared" ca="1" si="34"/>
        <v>0.187</v>
      </c>
      <c r="AD189" s="118">
        <f t="shared" ca="1" si="35"/>
        <v>0</v>
      </c>
      <c r="AE189" s="118">
        <f t="shared" ca="1" si="36"/>
        <v>0.187</v>
      </c>
      <c r="AF189" s="118">
        <f t="shared" ca="1" si="28"/>
        <v>-1.2564705882352978E-2</v>
      </c>
      <c r="AG189" s="118">
        <f t="shared" ca="1" si="29"/>
        <v>-15.735200000000047</v>
      </c>
      <c r="AH189" s="204">
        <f t="shared" ca="1" si="37"/>
        <v>-2.9424824000000087</v>
      </c>
      <c r="AI189" s="259"/>
    </row>
    <row r="190" spans="3:35" ht="15.75" x14ac:dyDescent="0.2">
      <c r="K190" s="218" t="s">
        <v>235</v>
      </c>
      <c r="L190" s="146" t="s">
        <v>594</v>
      </c>
      <c r="M190" s="346">
        <f>rF1.DeadLoadDesign+rF1.LiveLoadDesign</f>
        <v>11.28</v>
      </c>
      <c r="N190" s="346">
        <f>rF1.DeadLoadDesign+rF1.LiveLoadDesign</f>
        <v>13.3</v>
      </c>
      <c r="O190" s="346">
        <f>rF1.DeadLoadDesign+rF1.LiveLoadDesign</f>
        <v>8</v>
      </c>
      <c r="P190" s="346">
        <f>rF1.DeadLoadDesign+rF1.LiveLoadDesign</f>
        <v>8</v>
      </c>
      <c r="Q190" s="319"/>
      <c r="R190" s="403"/>
      <c r="S190" s="155"/>
      <c r="T190" s="238">
        <v>0.89</v>
      </c>
      <c r="U190" s="209">
        <f t="shared" ca="1" si="26"/>
        <v>578.26860000000011</v>
      </c>
      <c r="V190" s="118">
        <f t="shared" ca="1" si="30"/>
        <v>2.4377499999999983E-2</v>
      </c>
      <c r="W190" s="204">
        <f t="shared" ca="1" si="31"/>
        <v>14.096742796499992</v>
      </c>
      <c r="Y190" s="209">
        <f t="shared" ca="1" si="27"/>
        <v>578.26860000000011</v>
      </c>
      <c r="Z190" s="118">
        <f t="shared" ca="1" si="32"/>
        <v>2.4377499999999983E-2</v>
      </c>
      <c r="AA190" s="204">
        <f t="shared" ca="1" si="33"/>
        <v>14.096742796499992</v>
      </c>
      <c r="AC190" s="209">
        <f t="shared" ca="1" si="34"/>
        <v>0.18912499999999999</v>
      </c>
      <c r="AD190" s="118">
        <f t="shared" ca="1" si="35"/>
        <v>0</v>
      </c>
      <c r="AE190" s="118">
        <f t="shared" ca="1" si="36"/>
        <v>0.18912499999999999</v>
      </c>
      <c r="AF190" s="118">
        <f t="shared" ca="1" si="28"/>
        <v>-2.3964705882352971E-2</v>
      </c>
      <c r="AG190" s="118">
        <f t="shared" ca="1" si="29"/>
        <v>-30.011800000000036</v>
      </c>
      <c r="AH190" s="204">
        <f t="shared" ca="1" si="37"/>
        <v>-5.6759816750000063</v>
      </c>
      <c r="AI190" s="259"/>
    </row>
    <row r="191" spans="3:35" x14ac:dyDescent="0.2">
      <c r="K191" s="142" t="s">
        <v>298</v>
      </c>
      <c r="L191" s="142"/>
      <c r="M191" s="143" t="s">
        <v>255</v>
      </c>
      <c r="N191" s="143" t="s">
        <v>256</v>
      </c>
      <c r="O191" s="143" t="s">
        <v>257</v>
      </c>
      <c r="P191" s="143" t="s">
        <v>258</v>
      </c>
      <c r="Q191" s="192"/>
      <c r="R191" s="403"/>
      <c r="S191" s="155"/>
      <c r="T191" s="238">
        <v>0.9</v>
      </c>
      <c r="U191" s="209">
        <f t="shared" ca="1" si="26"/>
        <v>584.76600000000008</v>
      </c>
      <c r="V191" s="118">
        <f t="shared" ca="1" si="30"/>
        <v>2.327499999999999E-2</v>
      </c>
      <c r="W191" s="204">
        <f t="shared" ca="1" si="31"/>
        <v>13.610428649999996</v>
      </c>
      <c r="Y191" s="209">
        <f t="shared" ca="1" si="27"/>
        <v>584.76600000000008</v>
      </c>
      <c r="Z191" s="118">
        <f t="shared" ca="1" si="32"/>
        <v>2.327499999999999E-2</v>
      </c>
      <c r="AA191" s="204">
        <f t="shared" ca="1" si="33"/>
        <v>13.610428649999996</v>
      </c>
      <c r="AC191" s="209">
        <f t="shared" ca="1" si="34"/>
        <v>0.19125</v>
      </c>
      <c r="AD191" s="118">
        <f t="shared" ca="1" si="35"/>
        <v>0</v>
      </c>
      <c r="AE191" s="118">
        <f t="shared" ca="1" si="36"/>
        <v>0.19125</v>
      </c>
      <c r="AF191" s="118">
        <f t="shared" ca="1" si="28"/>
        <v>-3.5364705882352993E-2</v>
      </c>
      <c r="AG191" s="118">
        <f t="shared" ca="1" si="29"/>
        <v>-44.28840000000006</v>
      </c>
      <c r="AH191" s="204">
        <f t="shared" ca="1" si="37"/>
        <v>-8.4701565000000123</v>
      </c>
      <c r="AI191" s="259"/>
    </row>
    <row r="192" spans="3:35" x14ac:dyDescent="0.2">
      <c r="K192" s="347" t="s">
        <v>237</v>
      </c>
      <c r="L192" s="266"/>
      <c r="M192" s="348">
        <f>rF1.DesignLineDeadLoad</f>
        <v>0</v>
      </c>
      <c r="N192" s="348">
        <f>rF1.DesignLineDeadLoad</f>
        <v>0</v>
      </c>
      <c r="O192" s="348">
        <f>rF1.DesignLineDeadLoad</f>
        <v>0</v>
      </c>
      <c r="P192" s="348">
        <f>rF1.DesignLineDeadLoad</f>
        <v>0</v>
      </c>
      <c r="Q192" s="309"/>
      <c r="R192" s="403"/>
      <c r="S192" s="155"/>
      <c r="T192" s="238">
        <v>0.91</v>
      </c>
      <c r="U192" s="209">
        <f t="shared" ca="1" si="26"/>
        <v>591.26340000000016</v>
      </c>
      <c r="V192" s="118">
        <f t="shared" ca="1" si="30"/>
        <v>2.2172499999999984E-2</v>
      </c>
      <c r="W192" s="204">
        <f t="shared" ca="1" si="31"/>
        <v>13.109787736499994</v>
      </c>
      <c r="Y192" s="209">
        <f t="shared" ca="1" si="27"/>
        <v>591.26340000000016</v>
      </c>
      <c r="Z192" s="118">
        <f t="shared" ca="1" si="32"/>
        <v>2.2172499999999984E-2</v>
      </c>
      <c r="AA192" s="204">
        <f t="shared" ca="1" si="33"/>
        <v>13.109787736499994</v>
      </c>
      <c r="AC192" s="209">
        <f t="shared" ca="1" si="34"/>
        <v>0.19337499999999999</v>
      </c>
      <c r="AD192" s="118">
        <f t="shared" ca="1" si="35"/>
        <v>0</v>
      </c>
      <c r="AE192" s="118">
        <f t="shared" ca="1" si="36"/>
        <v>0.19337499999999999</v>
      </c>
      <c r="AF192" s="118">
        <f t="shared" ca="1" si="28"/>
        <v>-4.6764705882353E-2</v>
      </c>
      <c r="AG192" s="118">
        <f t="shared" ca="1" si="29"/>
        <v>-58.565000000000069</v>
      </c>
      <c r="AH192" s="204">
        <f t="shared" ca="1" si="37"/>
        <v>-11.325006875000012</v>
      </c>
      <c r="AI192" s="259"/>
    </row>
    <row r="193" spans="5:35" x14ac:dyDescent="0.2">
      <c r="K193" s="218" t="s">
        <v>238</v>
      </c>
      <c r="L193" s="146"/>
      <c r="M193" s="346">
        <f>rF1.DesignLineLiveLoad</f>
        <v>0</v>
      </c>
      <c r="N193" s="346">
        <f>rF1.DesignLineLiveLoad</f>
        <v>0</v>
      </c>
      <c r="O193" s="346">
        <f>rF1.DesignLineLiveLoad</f>
        <v>0</v>
      </c>
      <c r="P193" s="346">
        <f>rF1.DesignLineLiveLoad</f>
        <v>0</v>
      </c>
      <c r="Q193" s="319"/>
      <c r="S193" s="155"/>
      <c r="T193" s="238">
        <v>0.92</v>
      </c>
      <c r="U193" s="209">
        <f t="shared" ca="1" si="26"/>
        <v>597.76080000000013</v>
      </c>
      <c r="V193" s="118">
        <f t="shared" ca="1" si="30"/>
        <v>2.1069999999999964E-2</v>
      </c>
      <c r="W193" s="204">
        <f t="shared" ca="1" si="31"/>
        <v>12.594820055999982</v>
      </c>
      <c r="Y193" s="209">
        <f t="shared" ca="1" si="27"/>
        <v>597.76080000000013</v>
      </c>
      <c r="Z193" s="118">
        <f t="shared" ca="1" si="32"/>
        <v>2.1069999999999964E-2</v>
      </c>
      <c r="AA193" s="204">
        <f t="shared" ca="1" si="33"/>
        <v>12.594820055999982</v>
      </c>
      <c r="AC193" s="209">
        <f t="shared" ca="1" si="34"/>
        <v>0.19550000000000001</v>
      </c>
      <c r="AD193" s="118">
        <f t="shared" ca="1" si="35"/>
        <v>0</v>
      </c>
      <c r="AE193" s="118">
        <f t="shared" ca="1" si="36"/>
        <v>0.19550000000000001</v>
      </c>
      <c r="AF193" s="118">
        <f t="shared" ca="1" si="28"/>
        <v>-5.8164705882353007E-2</v>
      </c>
      <c r="AG193" s="118">
        <f t="shared" ca="1" si="29"/>
        <v>-72.841600000000071</v>
      </c>
      <c r="AH193" s="204">
        <f t="shared" ca="1" si="37"/>
        <v>-14.240532800000015</v>
      </c>
      <c r="AI193" s="259"/>
    </row>
    <row r="194" spans="5:35" x14ac:dyDescent="0.2">
      <c r="K194" s="347" t="s">
        <v>239</v>
      </c>
      <c r="L194" s="266"/>
      <c r="M194" s="348">
        <f>rF1.DesignLineDeadLoad+rF1.DesignLineLiveLoad</f>
        <v>0</v>
      </c>
      <c r="N194" s="348">
        <f>rF1.DesignLineDeadLoad+rF1.DesignLineLiveLoad</f>
        <v>0</v>
      </c>
      <c r="O194" s="348">
        <f>rF1.DesignLineDeadLoad+rF1.DesignLineLiveLoad</f>
        <v>0</v>
      </c>
      <c r="P194" s="348">
        <f>rF1.DesignLineDeadLoad+rF1.DesignLineLiveLoad</f>
        <v>0</v>
      </c>
      <c r="Q194" s="309"/>
      <c r="R194" s="403"/>
      <c r="S194" s="155"/>
      <c r="T194" s="238">
        <v>0.93</v>
      </c>
      <c r="U194" s="209">
        <f t="shared" ca="1" si="26"/>
        <v>604.2582000000001</v>
      </c>
      <c r="V194" s="118">
        <f t="shared" ca="1" si="30"/>
        <v>1.9967499999999985E-2</v>
      </c>
      <c r="W194" s="204">
        <f t="shared" ca="1" si="31"/>
        <v>12.065525608499993</v>
      </c>
      <c r="Y194" s="209">
        <f t="shared" ca="1" si="27"/>
        <v>604.2582000000001</v>
      </c>
      <c r="Z194" s="118">
        <f t="shared" ca="1" si="32"/>
        <v>1.9967499999999985E-2</v>
      </c>
      <c r="AA194" s="204">
        <f t="shared" ca="1" si="33"/>
        <v>12.065525608499993</v>
      </c>
      <c r="AC194" s="209">
        <f t="shared" ca="1" si="34"/>
        <v>0.197625</v>
      </c>
      <c r="AD194" s="118">
        <f t="shared" ca="1" si="35"/>
        <v>0</v>
      </c>
      <c r="AE194" s="118">
        <f t="shared" ca="1" si="36"/>
        <v>0.197625</v>
      </c>
      <c r="AF194" s="118">
        <f t="shared" ca="1" si="28"/>
        <v>-6.9564705882353015E-2</v>
      </c>
      <c r="AG194" s="118">
        <f t="shared" ca="1" si="29"/>
        <v>-87.118200000000087</v>
      </c>
      <c r="AH194" s="204">
        <f t="shared" ca="1" si="37"/>
        <v>-17.216734275000018</v>
      </c>
      <c r="AI194" s="259"/>
    </row>
    <row r="195" spans="5:35" x14ac:dyDescent="0.2">
      <c r="K195" s="218" t="s">
        <v>240</v>
      </c>
      <c r="L195" s="146"/>
      <c r="M195" s="318">
        <f>rF1.PositioningLineLoad</f>
        <v>0</v>
      </c>
      <c r="N195" s="318">
        <f>rF1.PositioningLineLoad</f>
        <v>0</v>
      </c>
      <c r="O195" s="318">
        <f>rF1.PositioningLineLoad</f>
        <v>0</v>
      </c>
      <c r="P195" s="318">
        <f>rF1.PositioningLineLoad</f>
        <v>0</v>
      </c>
      <c r="Q195" s="319"/>
      <c r="R195" s="403"/>
      <c r="S195" s="155"/>
      <c r="T195" s="238">
        <v>0.94</v>
      </c>
      <c r="U195" s="209">
        <f t="shared" ca="1" si="26"/>
        <v>610.75560000000007</v>
      </c>
      <c r="V195" s="118">
        <f t="shared" ca="1" si="30"/>
        <v>1.8864999999999979E-2</v>
      </c>
      <c r="W195" s="204">
        <f t="shared" ca="1" si="31"/>
        <v>11.521904393999989</v>
      </c>
      <c r="Y195" s="209">
        <f t="shared" ca="1" si="27"/>
        <v>610.75560000000007</v>
      </c>
      <c r="Z195" s="118">
        <f t="shared" ca="1" si="32"/>
        <v>1.8864999999999979E-2</v>
      </c>
      <c r="AA195" s="204">
        <f t="shared" ca="1" si="33"/>
        <v>11.521904393999989</v>
      </c>
      <c r="AC195" s="209">
        <f t="shared" ca="1" si="34"/>
        <v>0.19974999999999998</v>
      </c>
      <c r="AD195" s="118">
        <f t="shared" ca="1" si="35"/>
        <v>0</v>
      </c>
      <c r="AE195" s="118">
        <f t="shared" ca="1" si="36"/>
        <v>0.19974999999999998</v>
      </c>
      <c r="AF195" s="118">
        <f t="shared" ca="1" si="28"/>
        <v>-8.0964705882352897E-2</v>
      </c>
      <c r="AG195" s="118">
        <f t="shared" ca="1" si="29"/>
        <v>-101.39479999999995</v>
      </c>
      <c r="AH195" s="204">
        <f t="shared" ca="1" si="37"/>
        <v>-20.253611299999989</v>
      </c>
      <c r="AI195" s="259"/>
    </row>
    <row r="196" spans="5:35" x14ac:dyDescent="0.2">
      <c r="K196" s="142" t="s">
        <v>299</v>
      </c>
      <c r="L196" s="142"/>
      <c r="M196" s="143" t="s">
        <v>259</v>
      </c>
      <c r="N196" s="143" t="s">
        <v>260</v>
      </c>
      <c r="O196" s="143" t="s">
        <v>261</v>
      </c>
      <c r="P196" s="143"/>
      <c r="Q196" s="192"/>
      <c r="R196" s="403"/>
      <c r="S196" s="155"/>
      <c r="T196" s="238">
        <v>0.95</v>
      </c>
      <c r="U196" s="209">
        <f t="shared" ref="U196:U202" ca="1" si="38">IF(rF1.CheckWoodenSlabCalc,0,rF1.PlotAxForceFactor*rF1.PlotAxResistanceMaxTop)</f>
        <v>617.25300000000004</v>
      </c>
      <c r="V196" s="118">
        <f t="shared" ca="1" si="30"/>
        <v>1.7762500000000001E-2</v>
      </c>
      <c r="W196" s="204">
        <f t="shared" ca="1" si="31"/>
        <v>10.963956412500002</v>
      </c>
      <c r="Y196" s="209">
        <f t="shared" ref="Y196:Y202" ca="1" si="39">IF(rF1.CheckWoodenSlabCalc,0,rF1.PlotAxForceFactor*rF1.PlotAxResistanceMaxBottom)</f>
        <v>617.25300000000004</v>
      </c>
      <c r="Z196" s="118">
        <f t="shared" ca="1" si="32"/>
        <v>1.7762500000000001E-2</v>
      </c>
      <c r="AA196" s="204">
        <f t="shared" ca="1" si="33"/>
        <v>10.963956412500002</v>
      </c>
      <c r="AC196" s="209">
        <f t="shared" ca="1" si="34"/>
        <v>0.201875</v>
      </c>
      <c r="AD196" s="118">
        <f t="shared" ca="1" si="35"/>
        <v>0</v>
      </c>
      <c r="AE196" s="118">
        <f t="shared" ca="1" si="36"/>
        <v>0.201875</v>
      </c>
      <c r="AF196" s="118">
        <f t="shared" ref="AF196:AF202" ca="1" si="40">MIN(1.14*(1-2*rF1.PlotExcentricityTotalMiddle/rF1.WallThickness02)-0.024*rF1.WallHeightEffective/rF1.WallThickness02,1-2*rF1.PlotExcentricityTotalMiddle/rF1.WallThickness02)</f>
        <v>-9.2364705882353043E-2</v>
      </c>
      <c r="AG196" s="118">
        <f t="shared" ref="AG196:AG201" ca="1" si="41">IF(rF1.CheckWoodenSlabCalc,0,rF1.PlotReductionParameterMiddle*rF1.WallThickness02*rF1.ReductionMasonryStrenghtArea02*rF1.ReductionMasonryStrengthLongTerm*rF1.MasonryStrenghtChar02/rF1.SafetyFactorMaterial02*1000)</f>
        <v>-115.67140000000013</v>
      </c>
      <c r="AH196" s="204">
        <f t="shared" ca="1" si="37"/>
        <v>-23.351163875000026</v>
      </c>
      <c r="AI196" s="259"/>
    </row>
    <row r="197" spans="5:35" ht="15.75" x14ac:dyDescent="0.2">
      <c r="K197" s="146" t="s">
        <v>242</v>
      </c>
      <c r="L197" s="146" t="s">
        <v>62</v>
      </c>
      <c r="M197" s="248">
        <f>rF1.WallAxForceDeadTop</f>
        <v>727.8</v>
      </c>
      <c r="N197" s="248">
        <f>rF1.WallAxForceLiveTop</f>
        <v>227.94</v>
      </c>
      <c r="O197" s="257">
        <f>rF1.WallAxForceTop</f>
        <v>477.87</v>
      </c>
      <c r="P197" s="131"/>
      <c r="Q197" s="131"/>
      <c r="R197" s="403"/>
      <c r="S197" s="155"/>
      <c r="T197" s="238">
        <v>0.96</v>
      </c>
      <c r="U197" s="209">
        <f t="shared" ca="1" si="38"/>
        <v>623.75040000000013</v>
      </c>
      <c r="V197" s="118">
        <f t="shared" ca="1" si="30"/>
        <v>1.665999999999998E-2</v>
      </c>
      <c r="W197" s="204">
        <f t="shared" ref="W197:W202" ca="1" si="42">rF1.PlotAxForceTop*rF1.PlotExcentricityTop</f>
        <v>10.391681663999989</v>
      </c>
      <c r="Y197" s="209">
        <f t="shared" ca="1" si="39"/>
        <v>623.75040000000013</v>
      </c>
      <c r="Z197" s="118">
        <f t="shared" ca="1" si="32"/>
        <v>1.665999999999998E-2</v>
      </c>
      <c r="AA197" s="204">
        <f t="shared" ref="AA197:AA202" ca="1" si="43">rF1.PlotAxForceBottom*rF1.PlotExcentricityBottom</f>
        <v>10.391681663999989</v>
      </c>
      <c r="AC197" s="209">
        <f t="shared" ca="1" si="34"/>
        <v>0.20399999999999999</v>
      </c>
      <c r="AD197" s="118">
        <f t="shared" ref="AD197:AD202" ca="1" si="44">IF(rF1.WallSlenderness02&lt;=rP1.MaxSlendernessCreepEcc,0,0.002*rP1.CreepCoefficient*rF1.WallHeightBuckling/rF1.WallHeight02*SQRT(rF1.WallHeight02*rF1.PlotExcentricityLoadMiddle))</f>
        <v>0</v>
      </c>
      <c r="AE197" s="118">
        <f t="shared" ref="AE197:AE202" ca="1" si="45">MAX(rF1.PlotExcentricityCreepMiddle+rF1.PlotExcentricityLoadMiddle,0.05*rF1.WallThickness02)</f>
        <v>0.20399999999999999</v>
      </c>
      <c r="AF197" s="118">
        <f t="shared" ca="1" si="40"/>
        <v>-0.10376470588235293</v>
      </c>
      <c r="AG197" s="118">
        <f t="shared" ca="1" si="41"/>
        <v>-129.94799999999998</v>
      </c>
      <c r="AH197" s="204">
        <f t="shared" ref="AH197:AH202" ca="1" si="46">rF1.PlotExcentricityTotalMiddle*rF1.PlotAxForceMiddle</f>
        <v>-26.509391999999995</v>
      </c>
      <c r="AI197" s="259"/>
    </row>
    <row r="198" spans="5:35" ht="15.75" x14ac:dyDescent="0.2">
      <c r="K198" s="266" t="s">
        <v>243</v>
      </c>
      <c r="L198" s="266" t="s">
        <v>33</v>
      </c>
      <c r="M198" s="349">
        <f ca="1">rF1.WallAxForceDeadMiddle</f>
        <v>970.89006736875001</v>
      </c>
      <c r="N198" s="349">
        <f>rF1.WallAxForceLiveMiddle</f>
        <v>227.94</v>
      </c>
      <c r="O198" s="350">
        <f ca="1">rF1.WallAxForceMiddle</f>
        <v>485.44503368437501</v>
      </c>
      <c r="P198" s="351"/>
      <c r="Q198" s="351"/>
      <c r="S198" s="155"/>
      <c r="T198" s="238">
        <v>0.97</v>
      </c>
      <c r="U198" s="209">
        <f t="shared" ca="1" si="38"/>
        <v>630.2478000000001</v>
      </c>
      <c r="V198" s="118">
        <f t="shared" ca="1" si="30"/>
        <v>1.5557499999999988E-2</v>
      </c>
      <c r="W198" s="204">
        <f t="shared" ca="1" si="42"/>
        <v>9.8050801484999948</v>
      </c>
      <c r="Y198" s="209">
        <f t="shared" ca="1" si="39"/>
        <v>630.2478000000001</v>
      </c>
      <c r="Z198" s="118">
        <f t="shared" ca="1" si="32"/>
        <v>1.5557499999999988E-2</v>
      </c>
      <c r="AA198" s="204">
        <f t="shared" ca="1" si="43"/>
        <v>9.8050801484999948</v>
      </c>
      <c r="AC198" s="209">
        <f t="shared" ca="1" si="34"/>
        <v>0.206125</v>
      </c>
      <c r="AD198" s="118">
        <f t="shared" ca="1" si="44"/>
        <v>0</v>
      </c>
      <c r="AE198" s="118">
        <f t="shared" ca="1" si="45"/>
        <v>0.206125</v>
      </c>
      <c r="AF198" s="118">
        <f t="shared" ca="1" si="40"/>
        <v>-0.11516470588235306</v>
      </c>
      <c r="AG198" s="118">
        <f t="shared" ca="1" si="41"/>
        <v>-144.22460000000015</v>
      </c>
      <c r="AH198" s="204">
        <f t="shared" ca="1" si="46"/>
        <v>-29.72829567500003</v>
      </c>
      <c r="AI198" s="259"/>
    </row>
    <row r="199" spans="5:35" ht="15.75" x14ac:dyDescent="0.2">
      <c r="K199" s="146" t="s">
        <v>244</v>
      </c>
      <c r="L199" s="146" t="s">
        <v>34</v>
      </c>
      <c r="M199" s="248">
        <f ca="1">rF1.WallAxForceDeadBottom</f>
        <v>986.04013473750001</v>
      </c>
      <c r="N199" s="248">
        <f>rF1.WallAxForceLiveBottom</f>
        <v>227.94</v>
      </c>
      <c r="O199" s="257">
        <f ca="1">rF1.WallAxForceBottom</f>
        <v>493.02006736875001</v>
      </c>
      <c r="P199" s="131"/>
      <c r="Q199" s="131"/>
      <c r="S199" s="155"/>
      <c r="T199" s="238">
        <v>0.98</v>
      </c>
      <c r="U199" s="209">
        <f t="shared" ca="1" si="38"/>
        <v>636.74520000000007</v>
      </c>
      <c r="V199" s="118">
        <f t="shared" ca="1" si="30"/>
        <v>1.4454999999999982E-2</v>
      </c>
      <c r="W199" s="204">
        <f t="shared" ca="1" si="42"/>
        <v>9.2041518659999895</v>
      </c>
      <c r="Y199" s="209">
        <f t="shared" ca="1" si="39"/>
        <v>636.74520000000007</v>
      </c>
      <c r="Z199" s="118">
        <f t="shared" ca="1" si="32"/>
        <v>1.4454999999999982E-2</v>
      </c>
      <c r="AA199" s="204">
        <f t="shared" ca="1" si="43"/>
        <v>9.2041518659999895</v>
      </c>
      <c r="AC199" s="209">
        <f t="shared" ca="1" si="34"/>
        <v>0.20824999999999999</v>
      </c>
      <c r="AD199" s="118">
        <f t="shared" ca="1" si="44"/>
        <v>0</v>
      </c>
      <c r="AE199" s="118">
        <f t="shared" ca="1" si="45"/>
        <v>0.20824999999999999</v>
      </c>
      <c r="AF199" s="118">
        <f t="shared" ca="1" si="40"/>
        <v>-0.12656470588235294</v>
      </c>
      <c r="AG199" s="118">
        <f t="shared" ca="1" si="41"/>
        <v>-158.50119999999998</v>
      </c>
      <c r="AH199" s="204">
        <f t="shared" ca="1" si="46"/>
        <v>-33.007874899999997</v>
      </c>
      <c r="AI199" s="259"/>
    </row>
    <row r="200" spans="5:35" x14ac:dyDescent="0.2">
      <c r="K200" s="142" t="s">
        <v>300</v>
      </c>
      <c r="L200" s="142"/>
      <c r="M200" s="143"/>
      <c r="N200" s="143"/>
      <c r="O200" s="143"/>
      <c r="P200" s="143"/>
      <c r="Q200" s="192"/>
      <c r="S200" s="155"/>
      <c r="T200" s="238">
        <v>0.99</v>
      </c>
      <c r="U200" s="209">
        <f t="shared" ca="1" si="38"/>
        <v>643.24260000000015</v>
      </c>
      <c r="V200" s="118">
        <f t="shared" ca="1" si="30"/>
        <v>1.3352499999999962E-2</v>
      </c>
      <c r="W200" s="204">
        <f t="shared" ca="1" si="42"/>
        <v>8.588896816499977</v>
      </c>
      <c r="Y200" s="209">
        <f t="shared" ca="1" si="39"/>
        <v>643.24260000000015</v>
      </c>
      <c r="Z200" s="118">
        <f t="shared" ca="1" si="32"/>
        <v>1.3352499999999962E-2</v>
      </c>
      <c r="AA200" s="204">
        <f t="shared" ca="1" si="43"/>
        <v>8.588896816499977</v>
      </c>
      <c r="AC200" s="209">
        <f t="shared" ca="1" si="34"/>
        <v>0.21037500000000001</v>
      </c>
      <c r="AD200" s="118">
        <f t="shared" ca="1" si="44"/>
        <v>0</v>
      </c>
      <c r="AE200" s="118">
        <f t="shared" ca="1" si="45"/>
        <v>0.21037500000000001</v>
      </c>
      <c r="AF200" s="118">
        <f t="shared" ca="1" si="40"/>
        <v>-0.13796470588235307</v>
      </c>
      <c r="AG200" s="118">
        <f t="shared" ca="1" si="41"/>
        <v>-172.77780000000018</v>
      </c>
      <c r="AH200" s="204">
        <f t="shared" ca="1" si="46"/>
        <v>-36.348129675000038</v>
      </c>
      <c r="AI200" s="259"/>
    </row>
    <row r="201" spans="5:35" ht="15.75" x14ac:dyDescent="0.2">
      <c r="K201" s="146" t="s">
        <v>245</v>
      </c>
      <c r="L201" s="146" t="s">
        <v>35</v>
      </c>
      <c r="M201" s="228">
        <f>rF1.WindLoadDesign</f>
        <v>0.96</v>
      </c>
      <c r="N201" s="146"/>
      <c r="O201" s="131"/>
      <c r="P201" s="131"/>
      <c r="Q201" s="131"/>
      <c r="S201" s="155"/>
      <c r="T201" s="238">
        <v>1</v>
      </c>
      <c r="U201" s="209">
        <f t="shared" ca="1" si="38"/>
        <v>649.74000000000012</v>
      </c>
      <c r="V201" s="118">
        <f t="shared" ca="1" si="30"/>
        <v>1.2249999999999983E-2</v>
      </c>
      <c r="W201" s="204">
        <f t="shared" ca="1" si="42"/>
        <v>7.9593149999999904</v>
      </c>
      <c r="Y201" s="209">
        <f t="shared" ca="1" si="39"/>
        <v>649.74000000000012</v>
      </c>
      <c r="Z201" s="118">
        <f t="shared" ca="1" si="32"/>
        <v>1.2249999999999983E-2</v>
      </c>
      <c r="AA201" s="204">
        <f t="shared" ca="1" si="43"/>
        <v>7.9593149999999904</v>
      </c>
      <c r="AC201" s="209">
        <f t="shared" ca="1" si="34"/>
        <v>0.21249999999999999</v>
      </c>
      <c r="AD201" s="118">
        <f t="shared" ca="1" si="44"/>
        <v>0</v>
      </c>
      <c r="AE201" s="118">
        <f t="shared" ca="1" si="45"/>
        <v>0.21249999999999999</v>
      </c>
      <c r="AF201" s="118">
        <f t="shared" ca="1" si="40"/>
        <v>-0.14936470588235295</v>
      </c>
      <c r="AG201" s="118">
        <f t="shared" ca="1" si="41"/>
        <v>-187.05440000000004</v>
      </c>
      <c r="AH201" s="204">
        <f t="shared" ca="1" si="46"/>
        <v>-39.749060000000007</v>
      </c>
      <c r="AI201" s="259"/>
    </row>
    <row r="202" spans="5:35" x14ac:dyDescent="0.2">
      <c r="K202" s="140" t="s">
        <v>301</v>
      </c>
      <c r="L202" s="140"/>
      <c r="M202" s="140"/>
      <c r="N202" s="140"/>
      <c r="O202" s="140"/>
      <c r="P202" s="140"/>
      <c r="Q202" s="141"/>
      <c r="S202" s="155"/>
      <c r="T202" s="211">
        <v>1</v>
      </c>
      <c r="U202" s="191">
        <f t="shared" ca="1" si="38"/>
        <v>649.74000000000012</v>
      </c>
      <c r="V202" s="168">
        <v>0</v>
      </c>
      <c r="W202" s="190">
        <f t="shared" ca="1" si="42"/>
        <v>0</v>
      </c>
      <c r="Y202" s="191">
        <f t="shared" ca="1" si="39"/>
        <v>649.74000000000012</v>
      </c>
      <c r="Z202" s="168">
        <v>0</v>
      </c>
      <c r="AA202" s="190">
        <f t="shared" ca="1" si="43"/>
        <v>0</v>
      </c>
      <c r="AC202" s="191">
        <v>0</v>
      </c>
      <c r="AD202" s="168">
        <f t="shared" ca="1" si="44"/>
        <v>0</v>
      </c>
      <c r="AE202" s="168">
        <f t="shared" ca="1" si="45"/>
        <v>2.1250000000000002E-2</v>
      </c>
      <c r="AF202" s="168">
        <f t="shared" ca="1" si="40"/>
        <v>0.87663529411764707</v>
      </c>
      <c r="AG202" s="168">
        <v>0</v>
      </c>
      <c r="AH202" s="190">
        <f t="shared" ca="1" si="46"/>
        <v>0</v>
      </c>
      <c r="AI202" s="259"/>
    </row>
    <row r="203" spans="5:35" ht="15" thickBot="1" x14ac:dyDescent="0.25">
      <c r="K203" s="142" t="s">
        <v>302</v>
      </c>
      <c r="L203" s="142"/>
      <c r="M203" s="143"/>
      <c r="N203" s="143"/>
      <c r="O203" s="143"/>
      <c r="P203" s="143"/>
      <c r="Q203" s="192"/>
      <c r="S203" s="219"/>
      <c r="T203" s="222"/>
      <c r="U203" s="222"/>
      <c r="V203" s="222"/>
      <c r="W203" s="222"/>
      <c r="X203" s="222"/>
      <c r="Y203" s="222"/>
      <c r="Z203" s="222"/>
      <c r="AA203" s="222"/>
      <c r="AB203" s="222"/>
      <c r="AC203" s="222"/>
      <c r="AD203" s="222"/>
      <c r="AE203" s="222"/>
      <c r="AF203" s="222"/>
      <c r="AG203" s="222"/>
      <c r="AH203" s="222"/>
      <c r="AI203" s="275"/>
    </row>
    <row r="204" spans="5:35" x14ac:dyDescent="0.2">
      <c r="K204" s="146" t="s">
        <v>303</v>
      </c>
      <c r="L204" s="146"/>
      <c r="M204" s="146"/>
      <c r="N204" s="146"/>
      <c r="O204" s="146"/>
      <c r="P204" s="146"/>
      <c r="Q204" s="146"/>
    </row>
    <row r="205" spans="5:35" ht="15.75" x14ac:dyDescent="0.2">
      <c r="E205" s="352"/>
      <c r="F205" s="352"/>
      <c r="K205" s="347" t="s">
        <v>304</v>
      </c>
      <c r="L205" s="266" t="s">
        <v>61</v>
      </c>
      <c r="M205" s="327">
        <f ca="1">IF(rF1.CheckWoodenSlab02,1,IF((rF1.WallStiffnessTop02+rF1.CalculatedStiffnessBottom03)=0,0.5,1-MIN((rF1.SlabStiffness02+rF1.SlabStiffness04)/(rF1.WallStiffnessTop02+rF1.CalculatedStiffnessBottom03),2)/4))</f>
        <v>0.72558367599394868</v>
      </c>
      <c r="N205" s="343"/>
      <c r="O205" s="343"/>
      <c r="P205" s="343"/>
      <c r="Q205" s="347"/>
    </row>
    <row r="206" spans="5:35" ht="15.75" x14ac:dyDescent="0.2">
      <c r="E206" s="179"/>
      <c r="F206" s="179"/>
      <c r="K206" s="218" t="s">
        <v>305</v>
      </c>
      <c r="L206" s="146" t="s">
        <v>60</v>
      </c>
      <c r="M206" s="353">
        <f ca="1">IF(rF1.CheckWoodenSlab02,0,rF1.WallStiffnessTop02/(rF1.WallStiffnessTop02+rF1.CalculatedStiffnessBottom03+rF1.SlabStiffness02+rF1.SlabStiffness04)*(rF1.LoadStiffness02-rF1.LoadStiffness04)*rF1.MomentReductionTop)</f>
        <v>-4.1233913263623378</v>
      </c>
      <c r="N206" s="146"/>
      <c r="O206" s="218"/>
      <c r="P206" s="146"/>
      <c r="Q206" s="218"/>
    </row>
    <row r="207" spans="5:35" x14ac:dyDescent="0.2">
      <c r="E207" s="179"/>
      <c r="F207" s="179"/>
      <c r="K207" s="142" t="s">
        <v>307</v>
      </c>
      <c r="L207" s="142"/>
      <c r="M207" s="143"/>
      <c r="N207" s="143"/>
      <c r="O207" s="143"/>
      <c r="P207" s="143"/>
      <c r="Q207" s="192"/>
    </row>
    <row r="208" spans="5:35" x14ac:dyDescent="0.2">
      <c r="E208" s="179"/>
      <c r="F208" s="179"/>
      <c r="K208" s="146" t="s">
        <v>303</v>
      </c>
      <c r="L208" s="146"/>
      <c r="M208" s="326"/>
      <c r="N208" s="146"/>
      <c r="O208" s="146"/>
      <c r="P208" s="146"/>
      <c r="Q208" s="146"/>
      <c r="R208" s="402"/>
    </row>
    <row r="209" spans="3:18" ht="15.75" x14ac:dyDescent="0.2">
      <c r="E209" s="179"/>
      <c r="F209" s="179"/>
      <c r="K209" s="347" t="s">
        <v>304</v>
      </c>
      <c r="L209" s="266" t="s">
        <v>59</v>
      </c>
      <c r="M209" s="327">
        <f ca="1">IF(rF1.CheckWoodenSlab01,1,IF(OR(rF1.WallStiffnessBottom02+rF1.CalculatedStiffnessTop01=0,rF1.CheckFoundation,rF1.CheckBasePlate),0.5,1-MIN((rF1.SlabStiffness01+rF1.SlabStiffness03)/(rF1.WallStiffnessBottom02+rF1.CalculatedStiffnessTop01),2)/4))</f>
        <v>0.94739485940243684</v>
      </c>
      <c r="N209" s="266"/>
      <c r="O209" s="347"/>
      <c r="P209" s="266"/>
      <c r="Q209" s="347"/>
      <c r="R209" s="405"/>
    </row>
    <row r="210" spans="3:18" ht="15.75" x14ac:dyDescent="0.2">
      <c r="E210" s="179"/>
      <c r="F210" s="179"/>
      <c r="K210" s="218" t="s">
        <v>308</v>
      </c>
      <c r="L210" s="146" t="s">
        <v>58</v>
      </c>
      <c r="M210" s="353">
        <f ca="1">IF(AND(OR(rF1.CheckFoundation,rF1.CheckBasePlate),INDEX(rF1.WallBearingTop,1,2)=4),rF1.BendingMomentDecTop,IF(OR(rF1.CheckFoundation,rF1.CheckBasePlate,rF1.CheckWoodenSlab01),0,rF1.WallStiffnessBottom02/(rF1.CalculatedStiffnessTop01+rF1.WallStiffnessBottom02+rF1.SlabStiffness01+rF1.SlabStiffness03)*(rF1.LoadStiffness03-rF1.LoadStiffness01)*rF1.MomentReductionBottom))</f>
        <v>1.5169584165147469</v>
      </c>
      <c r="N210" s="146"/>
      <c r="O210" s="218"/>
      <c r="P210" s="146"/>
      <c r="Q210" s="218"/>
      <c r="R210" s="405"/>
    </row>
    <row r="211" spans="3:18" x14ac:dyDescent="0.2">
      <c r="K211" s="142" t="s">
        <v>309</v>
      </c>
      <c r="L211" s="142"/>
      <c r="M211" s="143"/>
      <c r="N211" s="143"/>
      <c r="O211" s="143"/>
      <c r="P211" s="143"/>
      <c r="Q211" s="192"/>
    </row>
    <row r="212" spans="3:18" ht="15.75" x14ac:dyDescent="0.2">
      <c r="K212" s="146" t="s">
        <v>310</v>
      </c>
      <c r="L212" s="146" t="s">
        <v>56</v>
      </c>
      <c r="M212" s="353">
        <f ca="1">(rF1.BendingMomentDecTop+rF1.BendingMomentDecBottom)/2</f>
        <v>-1.3032164549237955</v>
      </c>
      <c r="N212" s="146"/>
      <c r="O212" s="146"/>
      <c r="P212" s="146"/>
      <c r="Q212" s="146"/>
      <c r="R212" s="402"/>
    </row>
    <row r="213" spans="3:18" x14ac:dyDescent="0.2">
      <c r="K213" s="142" t="s">
        <v>311</v>
      </c>
      <c r="L213" s="142"/>
      <c r="M213" s="143"/>
      <c r="N213" s="143"/>
      <c r="O213" s="143"/>
      <c r="P213" s="143"/>
      <c r="Q213" s="192"/>
      <c r="R213" s="405"/>
    </row>
    <row r="214" spans="3:18" ht="15.75" x14ac:dyDescent="0.2">
      <c r="C214" s="194">
        <v>1</v>
      </c>
      <c r="F214" s="194">
        <f ca="1">OFFSET(rL3.Knoten,rF1.AufteilungMomenteWindSelection,rF1.ColumnPlacementFactor,1,1)</f>
        <v>-6.25E-2</v>
      </c>
      <c r="K214" s="146" t="s">
        <v>312</v>
      </c>
      <c r="L214" s="146" t="s">
        <v>181</v>
      </c>
      <c r="M214" s="353">
        <f ca="1">ABS(rF1.WindLoadDesign)*rF1.WallHeight02^2*rF1.WindMomentFactor*rF1.SlabInfluenceWidth/rF1.WallLenght02</f>
        <v>-0.67161840000000006</v>
      </c>
      <c r="N214" s="353"/>
      <c r="O214" s="353"/>
      <c r="P214" s="146"/>
      <c r="Q214" s="146"/>
      <c r="R214" s="405"/>
    </row>
    <row r="215" spans="3:18" ht="15.75" x14ac:dyDescent="0.2">
      <c r="C215" s="308">
        <v>2</v>
      </c>
      <c r="F215" s="308">
        <f ca="1">OFFSET(rL3.Knoten,rF1.AufteilungMomenteWindSelection,rF1.ColumnPlacementFactor,1,1)</f>
        <v>6.25E-2</v>
      </c>
      <c r="K215" s="266" t="s">
        <v>313</v>
      </c>
      <c r="L215" s="266" t="s">
        <v>55</v>
      </c>
      <c r="M215" s="345">
        <f ca="1">ABS(rF1.WindLoadDesign)*rF1.WallHeight02^2*rF1.WindMomentFactor*rF1.SlabInfluenceWidth/rF1.WallLenght02</f>
        <v>0.67161840000000006</v>
      </c>
      <c r="N215" s="345"/>
      <c r="O215" s="345"/>
      <c r="P215" s="266"/>
      <c r="Q215" s="347"/>
    </row>
    <row r="216" spans="3:18" ht="15.75" x14ac:dyDescent="0.2">
      <c r="C216" s="313">
        <v>3</v>
      </c>
      <c r="F216" s="313">
        <f ca="1">OFFSET(rL3.Knoten,rF1.AufteilungMomenteWindSelection,rF1.ColumnPlacementFactor,1,1)</f>
        <v>-6.25E-2</v>
      </c>
      <c r="K216" s="146" t="s">
        <v>314</v>
      </c>
      <c r="L216" s="146" t="s">
        <v>180</v>
      </c>
      <c r="M216" s="353">
        <f ca="1">ABS(rF1.WindLoadDesign)*rF1.WallHeight02^2*rF1.WindMomentFactor*rF1.SlabInfluenceWidth/rF1.WallLenght02</f>
        <v>-0.67161840000000006</v>
      </c>
      <c r="N216" s="353"/>
      <c r="O216" s="353"/>
      <c r="P216" s="146"/>
      <c r="Q216" s="146"/>
      <c r="R216" s="402"/>
    </row>
    <row r="217" spans="3:18" x14ac:dyDescent="0.2">
      <c r="K217" s="140" t="s">
        <v>315</v>
      </c>
      <c r="L217" s="140"/>
      <c r="M217" s="140"/>
      <c r="N217" s="140"/>
      <c r="O217" s="140"/>
      <c r="P217" s="140"/>
      <c r="Q217" s="141"/>
    </row>
    <row r="218" spans="3:18" x14ac:dyDescent="0.2">
      <c r="K218" s="142" t="s">
        <v>316</v>
      </c>
      <c r="L218" s="142"/>
      <c r="M218" s="143"/>
      <c r="N218" s="143"/>
      <c r="O218" s="143"/>
      <c r="P218" s="143"/>
      <c r="Q218" s="192"/>
      <c r="R218" s="402"/>
    </row>
    <row r="219" spans="3:18" ht="15.75" x14ac:dyDescent="0.2">
      <c r="C219" s="308"/>
      <c r="K219" s="146" t="s">
        <v>242</v>
      </c>
      <c r="L219" s="146" t="s">
        <v>62</v>
      </c>
      <c r="M219" s="257">
        <f>rF1.WallAxForceTop</f>
        <v>477.87</v>
      </c>
      <c r="N219" s="146"/>
      <c r="O219" s="146"/>
      <c r="P219" s="146"/>
      <c r="Q219" s="146"/>
      <c r="R219" s="405"/>
    </row>
    <row r="220" spans="3:18" ht="15.75" x14ac:dyDescent="0.2">
      <c r="C220" s="308"/>
      <c r="K220" s="266" t="s">
        <v>306</v>
      </c>
      <c r="L220" s="266" t="s">
        <v>57</v>
      </c>
      <c r="M220" s="345">
        <f ca="1">rF1.BendingMomentDecTop</f>
        <v>-4.1233913263623378</v>
      </c>
      <c r="N220" s="266"/>
      <c r="O220" s="266"/>
      <c r="P220" s="266"/>
      <c r="Q220" s="266"/>
      <c r="R220" s="402"/>
    </row>
    <row r="221" spans="3:18" ht="15.75" x14ac:dyDescent="0.2">
      <c r="C221" s="308"/>
      <c r="K221" s="146" t="s">
        <v>317</v>
      </c>
      <c r="L221" s="146" t="s">
        <v>63</v>
      </c>
      <c r="M221" s="354">
        <f ca="1">IF(rF1.WallAxForceTop=0,0,ABS(rF1.BendingMomentDecTop/rF1.WallAxForceTop))</f>
        <v>8.6286884013692805E-3</v>
      </c>
      <c r="N221" s="146"/>
      <c r="O221" s="146"/>
      <c r="P221" s="146"/>
      <c r="Q221" s="146"/>
    </row>
    <row r="222" spans="3:18" ht="15.75" x14ac:dyDescent="0.2">
      <c r="C222" s="308"/>
      <c r="K222" s="266" t="s">
        <v>318</v>
      </c>
      <c r="L222" s="266" t="s">
        <v>142</v>
      </c>
      <c r="M222" s="355">
        <f ca="1">IF(rF1.WallAxForceTop=0,0,ABS(rF1.MomentWindTop/rF1.WallAxForceTop))</f>
        <v>1.405441647309938E-3</v>
      </c>
      <c r="N222" s="266"/>
      <c r="O222" s="266"/>
      <c r="P222" s="266"/>
      <c r="Q222" s="266"/>
    </row>
    <row r="223" spans="3:18" ht="15.75" x14ac:dyDescent="0.2">
      <c r="C223" s="308"/>
      <c r="K223" s="146" t="s">
        <v>319</v>
      </c>
      <c r="L223" s="146" t="s">
        <v>356</v>
      </c>
      <c r="M223" s="354">
        <f>IF(rF1.CheckBendingMomentSlabTop,rF1.EccentricitySlabLoadTop,0)</f>
        <v>0</v>
      </c>
      <c r="N223" s="146"/>
      <c r="O223" s="146"/>
      <c r="P223" s="146"/>
      <c r="Q223" s="146"/>
      <c r="R223" s="402"/>
    </row>
    <row r="224" spans="3:18" ht="15.75" x14ac:dyDescent="0.2">
      <c r="C224" s="308"/>
      <c r="K224" s="266" t="s">
        <v>320</v>
      </c>
      <c r="L224" s="266" t="s">
        <v>64</v>
      </c>
      <c r="M224" s="355">
        <f>0</f>
        <v>0</v>
      </c>
      <c r="N224" s="266"/>
      <c r="O224" s="266"/>
      <c r="P224" s="266"/>
      <c r="Q224" s="266"/>
      <c r="R224" s="402"/>
    </row>
    <row r="225" spans="3:18" ht="15.75" x14ac:dyDescent="0.2">
      <c r="C225" s="308"/>
      <c r="F225" s="145">
        <f ca="1">rF1.EccentricitySlabTop+rF1.EccentricityWindTop+rF1.EccentricityGeoTop+rF1.EccentricityInitialTop</f>
        <v>1.0034130048679219E-2</v>
      </c>
      <c r="G225" s="145">
        <f ca="1">(rF1.BearingDepthTop02-rF1.WallAxForceTop/(rF1.ReductionMasonryStrenghtArea02*rF1.ReductionMasonryStrengthLongTerm*rF1.MasonryStrenghtChar02*1000/rF1.SafetyFactorMaterial02))/2</f>
        <v>4.1413461538461538E-2</v>
      </c>
      <c r="K225" s="170" t="s">
        <v>555</v>
      </c>
      <c r="L225" s="170" t="s">
        <v>369</v>
      </c>
      <c r="M225" s="356">
        <f ca="1">MAX(IF(rF1.WallAxForceTop/(rF1.ReductionMasonryStrenghtArea02*rF1.ReductionMasonryStrengthLongTerm*rF1.MasonryStrenghtChar02*1000/rF1.SafetyFactorMaterial02)&lt;0.333*rF1.BearingDepthTop02,MIN(rF1.EccentricityTopReg,rF1.EccentricityTopAC5),rF1.EccentricityTopReg),0.05*rF1.BearingDepthTop02)</f>
        <v>1.225E-2</v>
      </c>
      <c r="N225" s="357" t="str">
        <f ca="1">IF(rF1.EccentricityTotalTop=rF1.EccentricityTopAC5,rP2.OutputEccentricityAnnexC5,IF(rF1.EccentricityTotalTop=0.05*rF1.BearingDepthTop02,rP2.OutputSmallEccentricity,""))</f>
        <v>0,05 · a maßgebend</v>
      </c>
      <c r="O225" s="146"/>
      <c r="P225" s="146"/>
      <c r="Q225" s="146"/>
      <c r="R225" s="402"/>
    </row>
    <row r="226" spans="3:18" ht="15.75" x14ac:dyDescent="0.2">
      <c r="C226" s="308"/>
      <c r="K226" s="311" t="s">
        <v>371</v>
      </c>
      <c r="L226" s="311" t="s">
        <v>370</v>
      </c>
      <c r="M226" s="358">
        <f ca="1">MAX((rF1.EccentricitySlabTop+rF1.EccentricityWindTop+rF1.EccentricityGeoTop+rF1.EccentricityInitialTop),0.05*rF1.BearingDepthTop02)-rF1.EccentricityTotalTop</f>
        <v>0</v>
      </c>
      <c r="N226" s="359"/>
      <c r="O226" s="266"/>
      <c r="P226" s="266"/>
      <c r="Q226" s="266"/>
      <c r="R226" s="402"/>
    </row>
    <row r="227" spans="3:18" ht="15.75" x14ac:dyDescent="0.2">
      <c r="C227" s="308"/>
      <c r="K227" s="146" t="s">
        <v>250</v>
      </c>
      <c r="L227" s="335" t="s">
        <v>65</v>
      </c>
      <c r="M227" s="360">
        <f ca="1">MAX(1-2*rF1.EccentricityTotalTop/rF1.BearingDepthTop02,0)</f>
        <v>0.9</v>
      </c>
      <c r="N227" s="335"/>
      <c r="O227" s="146"/>
      <c r="P227" s="335"/>
      <c r="Q227" s="146"/>
      <c r="R227" s="402"/>
    </row>
    <row r="228" spans="3:18" x14ac:dyDescent="0.2">
      <c r="C228" s="308"/>
      <c r="K228" s="278" t="s">
        <v>251</v>
      </c>
      <c r="L228" s="278" t="s">
        <v>593</v>
      </c>
      <c r="M228" s="361">
        <f ca="1">rF1.ReductionEccentricityTop*rF1.ReductionMasonryStrenghtArea02*rF1.ReductionMasonryStrengthLongTerm*rF1.MasonryStrenghtChar02*rF1.BearingDepthTop02/(rF1.SafetyFactorMaterial02)*1000</f>
        <v>649.74000000000012</v>
      </c>
      <c r="N228" s="278"/>
      <c r="O228" s="278"/>
      <c r="P228" s="278"/>
      <c r="Q228" s="278"/>
      <c r="R228" s="402"/>
    </row>
    <row r="229" spans="3:18" x14ac:dyDescent="0.2">
      <c r="C229" s="308"/>
      <c r="K229" s="276" t="s">
        <v>252</v>
      </c>
      <c r="L229" s="282" t="s">
        <v>532</v>
      </c>
      <c r="M229" s="288">
        <f ca="1">IF(rF1.AxResistanceTop=0,"Inf.",rF1.WallAxForceTop/rF1.AxResistanceTop)</f>
        <v>0.73547880690737821</v>
      </c>
      <c r="N229" s="282"/>
      <c r="O229" s="276"/>
      <c r="P229" s="282"/>
      <c r="Q229" s="276"/>
      <c r="R229" s="402"/>
    </row>
    <row r="230" spans="3:18" ht="15.75" x14ac:dyDescent="0.2">
      <c r="C230" s="308"/>
      <c r="K230" s="266" t="s">
        <v>528</v>
      </c>
      <c r="L230" s="362" t="s">
        <v>533</v>
      </c>
      <c r="M230" s="327">
        <f ca="1">IF(OR(rF1.FireResNN,rF1.CheckFireResColumn),"-",IF(rF1.WallSlenderness02&lt;=rP1.LimitSlendernessKappa,15/(1.14-0.024*rF1.WallSlenderness02),(25-rF1.WallSlenderness02)/(1.14-0.024*rF1.WallSlenderness02)))</f>
        <v>15.141798489382928</v>
      </c>
      <c r="N230" s="279"/>
      <c r="O230" s="278"/>
      <c r="P230" s="279"/>
      <c r="Q230" s="278"/>
      <c r="R230" s="402"/>
    </row>
    <row r="231" spans="3:18" ht="15.75" x14ac:dyDescent="0.2">
      <c r="C231" s="308"/>
      <c r="G231" s="380" t="str">
        <f ca="1">IF(OR(rF1.FireResNN,rF1.CheckFireResColumn,rF1.CheckFireResManual02),"-",rF1.LoadFactorTopFireReduced*rF1.AxResistanceTop)</f>
        <v>-</v>
      </c>
      <c r="K231" s="170" t="s">
        <v>527</v>
      </c>
      <c r="L231" s="284" t="s">
        <v>534</v>
      </c>
      <c r="M231" s="363" t="str">
        <f ca="1">IF(OR(rF1.FireResNN,rF1.CheckFireResColumn,rF1.CheckFireResManual02),"-",IF(rF1.AxResistanceTop=0,"Inf.",rF1.LoadFactorTop*0.7))</f>
        <v>-</v>
      </c>
      <c r="N231" s="364" t="str">
        <f ca="1">IF(OR(rF1.FireResNN,rF1.CheckFireResColumn,rF1.CheckFireResManual02),"",rF1.LoadFactorTopFireReduced*rF1.AxResistanceTop)</f>
        <v/>
      </c>
      <c r="O231" s="365"/>
      <c r="P231" s="366"/>
      <c r="Q231" s="365"/>
      <c r="R231" s="402"/>
    </row>
    <row r="232" spans="3:18" ht="15.75" x14ac:dyDescent="0.2">
      <c r="C232" s="308">
        <f ca="1">OFFSET(rL6.FireResClassList,rF1.FireResClassSelection-1,1,1,1)</f>
        <v>14</v>
      </c>
      <c r="G232" s="380" t="str">
        <f ca="1">IF(OR(rF1.FireResNN,rF1.CheckFireResColumn,rF1.CheckFireResManual02),"-",rF1.LoadFactorTopFireMax*rF1.AxResistanceTop)</f>
        <v>-</v>
      </c>
      <c r="K232" s="266" t="s">
        <v>525</v>
      </c>
      <c r="L232" s="286" t="s">
        <v>535</v>
      </c>
      <c r="M232" s="327" t="str">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v>
      </c>
      <c r="N232" s="367" t="str">
        <f ca="1">IF(OR(rF1.FireResNN,rF1.CheckFireResColumn,rF1.CheckFireResManual02),"",rF1.LoadFactorTopFireMax*rF1.AxResistanceTop)</f>
        <v/>
      </c>
      <c r="O232" s="278"/>
      <c r="P232" s="279"/>
      <c r="Q232" s="278"/>
      <c r="R232" s="402"/>
    </row>
    <row r="233" spans="3:18" x14ac:dyDescent="0.2">
      <c r="C233" s="313"/>
      <c r="K233" s="365" t="s">
        <v>529</v>
      </c>
      <c r="L233" s="366" t="s">
        <v>536</v>
      </c>
      <c r="M233" s="368" t="str">
        <f ca="1">IF(rF1.FireResNN,rP2.OutputFireResNN,IF(OR(rF1.CheckFireResColumn,rF1.CheckFireResManual02),"-",IF(OR(rF1.LoadFactorTopFireMax=0,rF1.AxResistanceTop=0),"Inf.",rF1.LoadFactorTop*0.7/rF1.LoadFactorTopFireMax)))</f>
        <v>-</v>
      </c>
      <c r="N233" s="365" t="str">
        <f ca="1">IF(rF1.CheckFireResManual02,rP2.OutputFireProofManual02,IF(rF1.CheckFireResColumn,rP2.FireProofManual,IF(rF1.LoadFactorTopFireMax=0,rP2.OutputFireResClassFail,"")))</f>
        <v xml:space="preserve">a &lt; 2/3 · t! → Brandnachweis ist händisch zu führen! </v>
      </c>
      <c r="O233" s="365"/>
      <c r="P233" s="366"/>
      <c r="Q233" s="365"/>
      <c r="R233" s="402"/>
    </row>
    <row r="234" spans="3:18" x14ac:dyDescent="0.2">
      <c r="K234" s="142" t="s">
        <v>321</v>
      </c>
      <c r="L234" s="142"/>
      <c r="M234" s="143"/>
      <c r="N234" s="143"/>
      <c r="O234" s="143"/>
      <c r="P234" s="143"/>
      <c r="Q234" s="192"/>
      <c r="R234" s="406"/>
    </row>
    <row r="235" spans="3:18" ht="15.75" x14ac:dyDescent="0.2">
      <c r="C235" s="194"/>
      <c r="K235" s="146" t="s">
        <v>243</v>
      </c>
      <c r="L235" s="146" t="s">
        <v>33</v>
      </c>
      <c r="M235" s="257">
        <f ca="1">rF1.WallAxForceMiddle</f>
        <v>485.44503368437501</v>
      </c>
      <c r="N235" s="146"/>
      <c r="O235" s="146"/>
      <c r="P235" s="146"/>
      <c r="Q235" s="146"/>
      <c r="R235" s="406"/>
    </row>
    <row r="236" spans="3:18" ht="15.75" x14ac:dyDescent="0.2">
      <c r="C236" s="308"/>
      <c r="K236" s="266" t="s">
        <v>322</v>
      </c>
      <c r="L236" s="266" t="s">
        <v>66</v>
      </c>
      <c r="M236" s="355">
        <f ca="1">IF(OR(rF1.CheckBendingMomentSlabTop,rF1.CheckBendingMomentSlabBottom),(rF1.EccentricitySlabLoadTop+rF1.EccentricitySlabLoadBottom)/2,(2*rF1.WallThickness02-rF1.BearingDepthTop02-rF1.BearingDepthBottom02)/4)</f>
        <v>0.09</v>
      </c>
      <c r="N236" s="266"/>
      <c r="O236" s="266"/>
      <c r="P236" s="266"/>
      <c r="Q236" s="266"/>
      <c r="R236" s="406"/>
    </row>
    <row r="237" spans="3:18" ht="15.75" x14ac:dyDescent="0.2">
      <c r="C237" s="308"/>
      <c r="K237" s="170" t="s">
        <v>371</v>
      </c>
      <c r="L237" s="170" t="s">
        <v>372</v>
      </c>
      <c r="M237" s="356">
        <f ca="1">((rF1.EccentricityShiftC5Bottom*rF1.WallAxForceBottom-rF1.EccentricityShiftC5Top*rF1.WallAxForceTop)/2)/rF1.WallAxForceMiddle</f>
        <v>0</v>
      </c>
      <c r="N237" s="146"/>
      <c r="O237" s="146"/>
      <c r="P237" s="146"/>
      <c r="Q237" s="146"/>
      <c r="R237" s="407"/>
    </row>
    <row r="238" spans="3:18" ht="15.75" x14ac:dyDescent="0.2">
      <c r="C238" s="308"/>
      <c r="K238" s="266" t="s">
        <v>317</v>
      </c>
      <c r="L238" s="266" t="s">
        <v>67</v>
      </c>
      <c r="M238" s="355">
        <f ca="1">IF(rF1.WallAxForceMiddle=0,0,ABS(rF1.BendingMomentDecMiddle/rF1.WallAxForceMiddle))</f>
        <v>2.6845808783597862E-3</v>
      </c>
      <c r="N238" s="266"/>
      <c r="O238" s="266"/>
      <c r="P238" s="266"/>
      <c r="Q238" s="266"/>
      <c r="R238" s="406"/>
    </row>
    <row r="239" spans="3:18" ht="15.75" x14ac:dyDescent="0.2">
      <c r="C239" s="308"/>
      <c r="K239" s="146" t="s">
        <v>318</v>
      </c>
      <c r="L239" s="146" t="s">
        <v>143</v>
      </c>
      <c r="M239" s="354">
        <f ca="1">IF(rF1.WallAxForceMiddle=0,0,ABS(rF1.MomentWindMiddle/rF1.WallAxForceMiddle))</f>
        <v>1.3835107033697055E-3</v>
      </c>
      <c r="N239" s="146"/>
      <c r="O239" s="146"/>
      <c r="P239" s="146"/>
      <c r="Q239" s="146"/>
      <c r="R239" s="407"/>
    </row>
    <row r="240" spans="3:18" ht="15.75" x14ac:dyDescent="0.2">
      <c r="C240" s="308"/>
      <c r="K240" s="266" t="s">
        <v>320</v>
      </c>
      <c r="L240" s="266" t="s">
        <v>64</v>
      </c>
      <c r="M240" s="355">
        <f ca="1">rF1.WallHeightBuckling/450</f>
        <v>5.8777777777777778E-3</v>
      </c>
      <c r="N240" s="266"/>
      <c r="O240" s="266"/>
      <c r="P240" s="266"/>
      <c r="Q240" s="266"/>
    </row>
    <row r="241" spans="1:35" ht="15.75" x14ac:dyDescent="0.2">
      <c r="C241" s="308"/>
      <c r="K241" s="170" t="s">
        <v>323</v>
      </c>
      <c r="L241" s="146" t="s">
        <v>68</v>
      </c>
      <c r="M241" s="354">
        <f ca="1">rF1.EccentricitySystemMiddle+rF1.EccentricityShiftC5Middle+rF1.EccentricitySlabMiddle+rF1.EccentricityWindMiddle+rF1.EccentricityInitialMiddle</f>
        <v>9.994586935950725E-2</v>
      </c>
      <c r="N241" s="369"/>
      <c r="O241" s="146"/>
      <c r="P241" s="146"/>
      <c r="Q241" s="146"/>
      <c r="R241" s="402"/>
    </row>
    <row r="242" spans="1:35" ht="15.75" x14ac:dyDescent="0.2">
      <c r="C242" s="308"/>
      <c r="K242" s="266" t="s">
        <v>324</v>
      </c>
      <c r="L242" s="266" t="s">
        <v>69</v>
      </c>
      <c r="M242" s="355">
        <f ca="1">IF(rF1.WallSlenderness02&lt;=rP1.MaxSlendernessCreepEcc,0,0.002*rP1.CreepCoefficient*rF1.WallHeightBuckling/rF1.WallThickness02*SQRT(rF1.WallThickness02*rF1.EccentricityLoadsMiddle))</f>
        <v>0</v>
      </c>
      <c r="N242" s="347" t="str">
        <f ca="1">IF(rF1.WallSlenderness02&lt;=rP1.MaxSlendernessCreepEcc,"λc ≤ "&amp;rP1.MaxSlendernessCreepEcc,"")</f>
        <v>λc ≤ 15</v>
      </c>
      <c r="O242" s="266"/>
      <c r="P242" s="266"/>
      <c r="Q242" s="266"/>
      <c r="R242" s="402"/>
    </row>
    <row r="243" spans="1:35" ht="15.75" x14ac:dyDescent="0.2">
      <c r="C243" s="308"/>
      <c r="K243" s="146" t="s">
        <v>325</v>
      </c>
      <c r="L243" s="146" t="s">
        <v>70</v>
      </c>
      <c r="M243" s="354">
        <f ca="1">MAX(rF1.EccentricityLoadsMiddle+rF1.EccentricityCreepMiddle,0.05*rF1.WallThickness02)</f>
        <v>9.994586935950725E-2</v>
      </c>
      <c r="N243" s="218" t="str">
        <f ca="1">IF(rF1.EccentricityTotalMiddle=0.05*rF1.WallThickness02,rP2.OutputSmallEccentricityMiddle,"")</f>
        <v/>
      </c>
      <c r="O243" s="146"/>
      <c r="P243" s="146"/>
      <c r="Q243" s="146"/>
      <c r="R243" s="402"/>
    </row>
    <row r="244" spans="1:35" ht="15.75" x14ac:dyDescent="0.2">
      <c r="C244" s="308"/>
      <c r="K244" s="266" t="s">
        <v>278</v>
      </c>
      <c r="L244" s="266" t="s">
        <v>71</v>
      </c>
      <c r="M244" s="370">
        <f ca="1">rF1.WallHeightEffective</f>
        <v>2.645</v>
      </c>
      <c r="N244" s="266"/>
      <c r="O244" s="266"/>
      <c r="P244" s="266"/>
      <c r="Q244" s="266"/>
      <c r="R244" s="402"/>
    </row>
    <row r="245" spans="1:35" ht="15.75" x14ac:dyDescent="0.2">
      <c r="C245" s="308"/>
      <c r="F245" s="145">
        <f ca="1">MAX(1.14*(1-2*rF1.EccentricityTotalMiddle/rF1.WallThickness02)-0.024*rF1.WallHeightEffective/rF1.WallThickness02,0)</f>
        <v>0.45445510084781993</v>
      </c>
      <c r="G245" s="145">
        <f ca="1">MAX(1-2*rF1.EccentricityTotalMiddle/rF1.WallThickness02,0)</f>
        <v>0.52966649713173064</v>
      </c>
      <c r="K245" s="146" t="s">
        <v>250</v>
      </c>
      <c r="L245" s="335" t="s">
        <v>72</v>
      </c>
      <c r="M245" s="360">
        <f ca="1">MIN(rF1.ReductionEccMiddle01,rF1.ReductionEccMiddle02)</f>
        <v>0.45445510084781993</v>
      </c>
      <c r="N245" s="335"/>
      <c r="O245" s="146"/>
      <c r="P245" s="335"/>
      <c r="Q245" s="146"/>
      <c r="R245" s="402"/>
    </row>
    <row r="246" spans="1:35" x14ac:dyDescent="0.2">
      <c r="C246" s="308"/>
      <c r="K246" s="278" t="s">
        <v>251</v>
      </c>
      <c r="L246" s="278" t="s">
        <v>592</v>
      </c>
      <c r="M246" s="361">
        <f ca="1">rF1.ReductionEccentricityMiddle*rF1.ReductionMasonryStrenghtArea02*rF1.ReductionMasonryStrengthLongTerm*rF1.MasonryStrenghtChar02*rF1.WallThickness02/rF1.SafetyFactorMaterial02*1000</f>
        <v>569.12927129508648</v>
      </c>
      <c r="N246" s="278"/>
      <c r="O246" s="278"/>
      <c r="P246" s="278"/>
      <c r="Q246" s="278"/>
      <c r="R246" s="402"/>
    </row>
    <row r="247" spans="1:35" x14ac:dyDescent="0.2">
      <c r="C247" s="308"/>
      <c r="K247" s="276" t="s">
        <v>252</v>
      </c>
      <c r="L247" s="282" t="s">
        <v>537</v>
      </c>
      <c r="M247" s="288">
        <f ca="1">IF(rF1.AxResistanceMiddle=0,"Inf.",rF1.WallAxForceMiddle/rF1.AxResistanceMiddle)</f>
        <v>0.8529609320211502</v>
      </c>
      <c r="N247" s="282"/>
      <c r="O247" s="276"/>
      <c r="P247" s="282"/>
      <c r="Q247" s="276"/>
      <c r="R247" s="402"/>
    </row>
    <row r="248" spans="1:35" ht="15.75" x14ac:dyDescent="0.2">
      <c r="C248" s="308"/>
      <c r="K248" s="266" t="s">
        <v>528</v>
      </c>
      <c r="L248" s="362" t="s">
        <v>538</v>
      </c>
      <c r="M248" s="327">
        <f ca="1">IF(OR(rF1.FireResNN,rF1.CheckFireResColumn),"-",IF(rF1.WallSlenderness02&lt;=rP1.LimitSlendernessKappa,15/(1.14-0.024*rF1.WallSlenderness02),(25-rF1.WallSlenderness02)/(1.14-0.024*rF1.WallSlenderness02)))</f>
        <v>15.141798489382928</v>
      </c>
      <c r="N248" s="279"/>
      <c r="O248" s="278"/>
      <c r="P248" s="279"/>
      <c r="Q248" s="278"/>
      <c r="R248" s="402"/>
    </row>
    <row r="249" spans="1:35" ht="15.75" x14ac:dyDescent="0.2">
      <c r="C249" s="308"/>
      <c r="G249" s="380" t="str">
        <f ca="1">IF(OR(rF1.FireResNN,rF1.CheckFireResColumn,rF1.CheckFireResManual02),"-",rF1.LoadFactorMiddleFireReduced*rF1.AxResistanceMiddle)</f>
        <v>-</v>
      </c>
      <c r="K249" s="170" t="s">
        <v>527</v>
      </c>
      <c r="L249" s="284" t="s">
        <v>539</v>
      </c>
      <c r="M249" s="363" t="str">
        <f ca="1">IF(OR(rF1.FireResNN,rF1.CheckFireResColumn,rF1.CheckFireResManual02),"-",IF(rF1.AxResistanceMiddle=0,"Inf.",rF1.LoadFactorMiddle*0.7))</f>
        <v>-</v>
      </c>
      <c r="N249" s="364" t="str">
        <f ca="1">IF(OR(rF1.FireResNN,rF1.CheckFireResColumn,rF1.CheckFireResManual02),"",rF1.LoadFactorMiddleFireReduced*rF1.AxResistanceMiddle)</f>
        <v/>
      </c>
      <c r="O249" s="365"/>
      <c r="P249" s="366"/>
      <c r="Q249" s="365"/>
      <c r="R249" s="402"/>
    </row>
    <row r="250" spans="1:35" ht="15.75" x14ac:dyDescent="0.2">
      <c r="C250" s="308">
        <f ca="1">OFFSET(rL6.FireResClassList,rF1.FireResClassSelection-1,1,1,1)</f>
        <v>14</v>
      </c>
      <c r="G250" s="380" t="str">
        <f ca="1">IF(OR(rF1.FireResNN,rF1.CheckFireResColumn,rF1.CheckFireResManual02),"-",rF1.LoadFactorMiddleFireMax*rF1.AxResistanceMiddle)</f>
        <v>-</v>
      </c>
      <c r="K250" s="266" t="s">
        <v>525</v>
      </c>
      <c r="L250" s="286" t="s">
        <v>540</v>
      </c>
      <c r="M250" s="327" t="str">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v>
      </c>
      <c r="N250" s="367" t="str">
        <f ca="1">IF(OR(rF1.FireResNN,rF1.CheckFireResColumn,rF1.CheckFireResManual02),"",rF1.LoadFactorMiddleFireMax*rF1.AxResistanceMiddle)</f>
        <v/>
      </c>
      <c r="O250" s="278"/>
      <c r="P250" s="279"/>
      <c r="Q250" s="278"/>
      <c r="R250" s="402"/>
    </row>
    <row r="251" spans="1:35" x14ac:dyDescent="0.2">
      <c r="C251" s="313"/>
      <c r="K251" s="365" t="s">
        <v>529</v>
      </c>
      <c r="L251" s="366" t="s">
        <v>541</v>
      </c>
      <c r="M251" s="368" t="str">
        <f ca="1">IF(rF1.FireResNN,rP2.OutputFireResNN,IF(OR(rF1.CheckFireResColumn,rF1.CheckFireResManual02),"-",IF(OR(rF1.LoadFactorMiddleFireMax=0,rF1.AxResistanceMiddle=0),"Inf.",rF1.LoadFactorMiddle*0.7/rF1.LoadFactorMiddleFireMax)))</f>
        <v>-</v>
      </c>
      <c r="N251" s="365" t="str">
        <f ca="1">IF(rF1.CheckFireResManual02,rP2.OutputFireProofManual02,IF(rF1.CheckFireResColumn,rP2.FireProofManual,IF(rF1.LoadFactorMiddleFireMax=0,rP2.OutputFireResClassFail,"")))</f>
        <v xml:space="preserve">a &lt; 2/3 · t! → Brandnachweis ist händisch zu führen! </v>
      </c>
      <c r="O251" s="365"/>
      <c r="P251" s="366"/>
      <c r="Q251" s="365"/>
      <c r="R251" s="402"/>
    </row>
    <row r="252" spans="1:35" x14ac:dyDescent="0.2">
      <c r="K252" s="142" t="s">
        <v>326</v>
      </c>
      <c r="L252" s="142"/>
      <c r="M252" s="143"/>
      <c r="N252" s="143"/>
      <c r="O252" s="143"/>
      <c r="P252" s="143"/>
      <c r="Q252" s="192"/>
      <c r="R252" s="406"/>
    </row>
    <row r="253" spans="1:35" ht="15.75" x14ac:dyDescent="0.2">
      <c r="C253" s="194"/>
      <c r="K253" s="146" t="s">
        <v>244</v>
      </c>
      <c r="L253" s="146" t="s">
        <v>34</v>
      </c>
      <c r="M253" s="257">
        <f ca="1">rF1.WallAxForceBottom</f>
        <v>493.02006736875001</v>
      </c>
      <c r="N253" s="146"/>
      <c r="O253" s="146"/>
      <c r="P253" s="146"/>
      <c r="Q253" s="146"/>
      <c r="R253" s="406"/>
    </row>
    <row r="254" spans="1:35" ht="15.75" x14ac:dyDescent="0.2">
      <c r="C254" s="308"/>
      <c r="K254" s="266" t="s">
        <v>306</v>
      </c>
      <c r="L254" s="266" t="s">
        <v>57</v>
      </c>
      <c r="M254" s="345">
        <f ca="1">rF1.BendingMomentDecBottom</f>
        <v>1.5169584165147469</v>
      </c>
      <c r="N254" s="266"/>
      <c r="O254" s="266"/>
      <c r="P254" s="266"/>
      <c r="Q254" s="266"/>
      <c r="R254" s="406"/>
    </row>
    <row r="255" spans="1:35" s="281" customFormat="1" ht="15.75" x14ac:dyDescent="0.2">
      <c r="A255" s="116"/>
      <c r="B255" s="116"/>
      <c r="C255" s="308"/>
      <c r="D255" s="116"/>
      <c r="E255" s="116"/>
      <c r="F255" s="116"/>
      <c r="G255" s="116"/>
      <c r="H255" s="116"/>
      <c r="I255" s="116"/>
      <c r="J255" s="116"/>
      <c r="K255" s="146" t="s">
        <v>317</v>
      </c>
      <c r="L255" s="146" t="s">
        <v>73</v>
      </c>
      <c r="M255" s="354">
        <f ca="1">IF(rF1.WallAxForceBottom=0,0,ABS(rF1.BendingMomentDecBottom/rF1.WallAxForceBottom))</f>
        <v>3.0768695169159335E-3</v>
      </c>
      <c r="N255" s="146"/>
      <c r="O255" s="146"/>
      <c r="P255" s="146"/>
      <c r="Q255" s="146"/>
      <c r="R255" s="407"/>
      <c r="T255" s="371"/>
      <c r="U255" s="371"/>
      <c r="V255" s="371"/>
      <c r="W255" s="371"/>
      <c r="X255" s="371"/>
      <c r="Y255" s="371"/>
      <c r="Z255" s="371"/>
      <c r="AA255" s="371"/>
      <c r="AB255" s="371"/>
      <c r="AC255" s="371"/>
      <c r="AD255" s="371"/>
      <c r="AE255" s="371"/>
      <c r="AF255" s="371"/>
      <c r="AG255" s="371"/>
      <c r="AH255" s="371"/>
      <c r="AI255" s="371"/>
    </row>
    <row r="256" spans="1:35" s="281" customFormat="1" ht="15.75" x14ac:dyDescent="0.2">
      <c r="A256" s="116"/>
      <c r="B256" s="116"/>
      <c r="C256" s="308"/>
      <c r="D256" s="116"/>
      <c r="E256" s="116"/>
      <c r="F256" s="116"/>
      <c r="G256" s="116"/>
      <c r="H256" s="116"/>
      <c r="I256" s="116"/>
      <c r="J256" s="116"/>
      <c r="K256" s="266" t="s">
        <v>318</v>
      </c>
      <c r="L256" s="266" t="s">
        <v>144</v>
      </c>
      <c r="M256" s="355">
        <f ca="1">IF(rF1.WallAxForceBottom=0,0,ABS(rF1.MomentWindBottom/rF1.WallAxForceBottom))</f>
        <v>1.3622536777953686E-3</v>
      </c>
      <c r="N256" s="266"/>
      <c r="O256" s="266"/>
      <c r="P256" s="266"/>
      <c r="Q256" s="266"/>
      <c r="R256" s="406"/>
      <c r="T256" s="371"/>
      <c r="U256" s="371"/>
      <c r="V256" s="371"/>
      <c r="W256" s="371"/>
      <c r="X256" s="371"/>
      <c r="Y256" s="371"/>
      <c r="Z256" s="371"/>
      <c r="AA256" s="371"/>
      <c r="AB256" s="371"/>
      <c r="AC256" s="371"/>
      <c r="AD256" s="371"/>
      <c r="AE256" s="371"/>
      <c r="AF256" s="371"/>
      <c r="AG256" s="371"/>
      <c r="AH256" s="371"/>
      <c r="AI256" s="371"/>
    </row>
    <row r="257" spans="1:35" s="281" customFormat="1" ht="15.75" x14ac:dyDescent="0.2">
      <c r="A257" s="116"/>
      <c r="B257" s="116"/>
      <c r="C257" s="308"/>
      <c r="D257" s="116"/>
      <c r="E257" s="116"/>
      <c r="F257" s="116"/>
      <c r="G257" s="116"/>
      <c r="H257" s="116"/>
      <c r="I257" s="116"/>
      <c r="J257" s="116"/>
      <c r="K257" s="146" t="s">
        <v>319</v>
      </c>
      <c r="L257" s="146" t="s">
        <v>357</v>
      </c>
      <c r="M257" s="354">
        <f>IF(rF1.CheckBendingMomentSlabBottom,ABS(rF1.EccentricitySlabLoadBottom),0)</f>
        <v>0</v>
      </c>
      <c r="N257" s="146"/>
      <c r="O257" s="146"/>
      <c r="P257" s="146"/>
      <c r="Q257" s="146"/>
      <c r="R257" s="407"/>
      <c r="T257" s="371"/>
      <c r="U257" s="371"/>
      <c r="V257" s="371"/>
      <c r="W257" s="371"/>
      <c r="X257" s="371"/>
      <c r="Y257" s="371"/>
      <c r="Z257" s="371"/>
      <c r="AA257" s="371"/>
      <c r="AB257" s="371"/>
      <c r="AC257" s="371"/>
      <c r="AD257" s="371"/>
      <c r="AE257" s="371"/>
      <c r="AF257" s="371"/>
      <c r="AG257" s="371"/>
      <c r="AH257" s="371"/>
      <c r="AI257" s="371"/>
    </row>
    <row r="258" spans="1:35" s="281" customFormat="1" ht="15.75" x14ac:dyDescent="0.2">
      <c r="A258" s="116"/>
      <c r="B258" s="116"/>
      <c r="C258" s="308"/>
      <c r="D258" s="116"/>
      <c r="E258" s="116"/>
      <c r="F258" s="116"/>
      <c r="G258" s="116"/>
      <c r="H258" s="116"/>
      <c r="I258" s="116"/>
      <c r="J258" s="116"/>
      <c r="K258" s="266" t="s">
        <v>320</v>
      </c>
      <c r="L258" s="266" t="s">
        <v>64</v>
      </c>
      <c r="M258" s="355">
        <f>0</f>
        <v>0</v>
      </c>
      <c r="N258" s="266"/>
      <c r="O258" s="266"/>
      <c r="P258" s="266"/>
      <c r="Q258" s="266"/>
      <c r="R258" s="400"/>
      <c r="T258" s="371"/>
      <c r="U258" s="371"/>
      <c r="V258" s="371"/>
      <c r="W258" s="371"/>
      <c r="X258" s="371"/>
      <c r="Y258" s="371"/>
      <c r="Z258" s="371"/>
      <c r="AA258" s="371"/>
      <c r="AB258" s="371"/>
      <c r="AC258" s="371"/>
      <c r="AD258" s="371"/>
      <c r="AE258" s="371"/>
      <c r="AF258" s="371"/>
      <c r="AG258" s="371"/>
      <c r="AH258" s="371"/>
      <c r="AI258" s="371"/>
    </row>
    <row r="259" spans="1:35" ht="15.75" x14ac:dyDescent="0.2">
      <c r="C259" s="308"/>
      <c r="F259" s="145">
        <f ca="1">rF1.EccentricitySlabBottom+rF1.EccentricityWindBottom+rF1.EccentricityGeoBottom+rF1.EccentricityInitialBottom</f>
        <v>4.4391231947113023E-3</v>
      </c>
      <c r="G259" s="145">
        <f ca="1">(rF1.BearingDepthBottom02-rF1.WallAxForceBottom/(rF1.ReductionMasonryStrenghtArea02*rF1.ReductionMasonryStrengthLongTerm*rF1.MasonryStrenghtChar02*1000/rF1.SafetyFactorMaterial02))/2</f>
        <v>3.884274874964648E-2</v>
      </c>
      <c r="K259" s="170" t="s">
        <v>556</v>
      </c>
      <c r="L259" s="146" t="s">
        <v>74</v>
      </c>
      <c r="M259" s="356">
        <f ca="1">MAX(IF(rF1.WallAxForceBottom/(rF1.ReductionMasonryStrenghtArea02*rF1.ReductionMasonryStrengthLongTerm*rF1.MasonryStrenghtChar02*1000/rF1.SafetyFactorMaterial02)&lt;0.333*rF1.BearingDepthBottom02,MIN(rF1.EccentricityBottomReg,rF1.EccentricityBottomAC5),rF1.EccentricityBottomReg),0.05*rF1.BearingDepthBottom02)</f>
        <v>1.225E-2</v>
      </c>
      <c r="N259" s="357" t="str">
        <f ca="1">IF(rF1.EccentricityTotalBottom=rF1.EccentricityBottomAC5,rP2.OutputEccentricityAnnexC5,IF(rF1.EccentricityTotalBottom=0.05*rF1.BearingDepthBottom02,rP2.OutputSmallEccentricity,""))</f>
        <v>0,05 · a maßgebend</v>
      </c>
      <c r="O259" s="146"/>
      <c r="P259" s="146"/>
      <c r="Q259" s="146"/>
      <c r="R259" s="402"/>
    </row>
    <row r="260" spans="1:35" ht="15.75" x14ac:dyDescent="0.2">
      <c r="C260" s="308"/>
      <c r="K260" s="311" t="s">
        <v>371</v>
      </c>
      <c r="L260" s="311" t="s">
        <v>373</v>
      </c>
      <c r="M260" s="358">
        <f ca="1">MAX((rF1.EccentricitySlabBottom+rF1.EccentricityWindBottom+rF1.EccentricityGeoBottom+rF1.EccentricityInitialBottom),0.05*rF1.BearingDepthBottom02)-rF1.EccentricityTotalBottom</f>
        <v>0</v>
      </c>
      <c r="N260" s="372"/>
      <c r="O260" s="266"/>
      <c r="P260" s="266"/>
      <c r="Q260" s="266"/>
      <c r="R260" s="402"/>
    </row>
    <row r="261" spans="1:35" ht="15.75" x14ac:dyDescent="0.2">
      <c r="C261" s="308"/>
      <c r="K261" s="146" t="s">
        <v>250</v>
      </c>
      <c r="L261" s="335" t="s">
        <v>75</v>
      </c>
      <c r="M261" s="360">
        <f ca="1">MAX(1-2*rF1.EccentricityTotalBottom/rF1.BearingDepthBottom02,0)</f>
        <v>0.9</v>
      </c>
      <c r="N261" s="335"/>
      <c r="O261" s="146"/>
      <c r="P261" s="335"/>
      <c r="Q261" s="146"/>
      <c r="R261" s="402"/>
    </row>
    <row r="262" spans="1:35" x14ac:dyDescent="0.2">
      <c r="C262" s="308"/>
      <c r="K262" s="278" t="s">
        <v>251</v>
      </c>
      <c r="L262" s="278" t="s">
        <v>591</v>
      </c>
      <c r="M262" s="361">
        <f ca="1">rF1.ReductionEccentricityBottom*rF1.ReductionMasonryStrenghtArea02*rF1.ReductionMasonryStrengthLongTerm*rF1.MasonryStrenghtChar02*rF1.BearingDepthBottom02/rF1.SafetyFactorMaterial02*1000</f>
        <v>649.74000000000012</v>
      </c>
      <c r="N262" s="278"/>
      <c r="O262" s="278"/>
      <c r="P262" s="278"/>
      <c r="Q262" s="278"/>
      <c r="R262" s="402"/>
    </row>
    <row r="263" spans="1:35" x14ac:dyDescent="0.2">
      <c r="C263" s="308"/>
      <c r="K263" s="276" t="s">
        <v>252</v>
      </c>
      <c r="L263" s="282" t="s">
        <v>542</v>
      </c>
      <c r="M263" s="288">
        <f ca="1">IF(rF1.AxResistanceBottom=0,"Inf.",rF1.WallAxForceBottom/rF1.AxResistanceBottom)</f>
        <v>0.75879592970842169</v>
      </c>
      <c r="N263" s="282"/>
      <c r="O263" s="276"/>
      <c r="P263" s="282"/>
      <c r="Q263" s="276"/>
      <c r="R263" s="402"/>
    </row>
    <row r="264" spans="1:35" ht="15.75" x14ac:dyDescent="0.2">
      <c r="C264" s="308"/>
      <c r="K264" s="266" t="s">
        <v>528</v>
      </c>
      <c r="L264" s="362" t="s">
        <v>543</v>
      </c>
      <c r="M264" s="327">
        <f ca="1">IF(OR(rF1.FireResNN,rF1.CheckFireResColumn),"-",IF(rF1.WallSlenderness02&lt;=rP1.LimitSlendernessKappa,15/(1.14-0.024*rF1.WallSlenderness02),(25-rF1.WallSlenderness02)/(1.14-0.024*rF1.WallSlenderness02)))</f>
        <v>15.141798489382928</v>
      </c>
      <c r="N264" s="279"/>
      <c r="O264" s="278"/>
      <c r="P264" s="279"/>
      <c r="Q264" s="278"/>
      <c r="R264" s="402"/>
    </row>
    <row r="265" spans="1:35" ht="15.75" x14ac:dyDescent="0.2">
      <c r="C265" s="308"/>
      <c r="G265" s="380" t="str">
        <f ca="1">IF(OR(rF1.FireResNN,rF1.CheckFireResColumn,rF1.CheckFireResManual02),"-",rF1.LoadFactorBottomFireReduced*rF1.AxResistanceBottom)</f>
        <v>-</v>
      </c>
      <c r="K265" s="170" t="s">
        <v>527</v>
      </c>
      <c r="L265" s="284" t="s">
        <v>544</v>
      </c>
      <c r="M265" s="326" t="str">
        <f ca="1">IF(OR(rF1.FireResNN,rF1.CheckFireResColumn,rF1.CheckFireResManual02),"-",IF(rF1.AxResistanceBottom=0,"Inf.",rF1.LoadFactorBottom*0.7))</f>
        <v>-</v>
      </c>
      <c r="N265" s="364" t="str">
        <f ca="1">IF(OR(rF1.FireResNN,rF1.CheckFireResColumn,rF1.CheckFireResManual02),"",rF1.LoadFactorBottomFireReduced*rF1.AxResistanceBottom)</f>
        <v/>
      </c>
      <c r="O265" s="276"/>
      <c r="P265" s="282"/>
      <c r="Q265" s="276"/>
      <c r="R265" s="402"/>
    </row>
    <row r="266" spans="1:35" ht="15.75" x14ac:dyDescent="0.2">
      <c r="C266" s="308">
        <f ca="1">OFFSET(rL6.FireResClassList,rF1.FireResClassSelection-1,1,1,1)</f>
        <v>14</v>
      </c>
      <c r="G266" s="380" t="str">
        <f ca="1">IF(OR(rF1.FireResNN,rF1.CheckFireResColumn,rF1.CheckFireResManual02),"-",rF1.LoadFactorBottomFireMax*rF1.AxResistanceBottom)</f>
        <v>-</v>
      </c>
      <c r="K266" s="266" t="s">
        <v>525</v>
      </c>
      <c r="L266" s="286" t="s">
        <v>545</v>
      </c>
      <c r="M266" s="327" t="str">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v>
      </c>
      <c r="N266" s="367" t="str">
        <f ca="1">IF(OR(rF1.FireResNN,rF1.CheckFireResColumn,rF1.CheckFireResManual02),"",rF1.LoadFactorBottomFireMax*rF1.AxResistanceBottom)</f>
        <v/>
      </c>
      <c r="O266" s="278"/>
      <c r="P266" s="279"/>
      <c r="Q266" s="278"/>
      <c r="R266" s="402"/>
    </row>
    <row r="267" spans="1:35" x14ac:dyDescent="0.2">
      <c r="C267" s="313"/>
      <c r="K267" s="276" t="s">
        <v>529</v>
      </c>
      <c r="L267" s="282" t="s">
        <v>546</v>
      </c>
      <c r="M267" s="288" t="str">
        <f ca="1">IF(rF1.FireResNN,rP2.OutputFireResNN,IF(OR(rF1.CheckFireResColumn,rF1.CheckFireResManual02),"-",IF(OR(rF1.LoadFactorBottomFireMax=0,rF1.AxResistanceBottom=0),"Inf.",rF1.LoadFactorBottom*0.7/rF1.LoadFactorBottomFireMax)))</f>
        <v>-</v>
      </c>
      <c r="N267" s="276" t="str">
        <f ca="1">IF(rF1.CheckFireResManual02,rP2.OutputFireProofManual02,IF(rF1.CheckFireResColumn,rP2.FireProofManual,IF(rF1.LoadFactorBottomFireMax=0,rP2.OutputFireResClassFail,"")))</f>
        <v xml:space="preserve">a &lt; 2/3 · t! → Brandnachweis ist händisch zu führen! </v>
      </c>
      <c r="O267" s="276"/>
      <c r="P267" s="282"/>
      <c r="Q267" s="276"/>
      <c r="R267" s="402"/>
    </row>
    <row r="268" spans="1:35" hidden="1" x14ac:dyDescent="0.2">
      <c r="Q268" s="116">
        <v>4</v>
      </c>
      <c r="R268" s="406"/>
    </row>
    <row r="269" spans="1:35" hidden="1" x14ac:dyDescent="0.2">
      <c r="R269" s="406"/>
    </row>
    <row r="270" spans="1:35" hidden="1" x14ac:dyDescent="0.2">
      <c r="R270" s="406"/>
    </row>
    <row r="271" spans="1:35" hidden="1" x14ac:dyDescent="0.2">
      <c r="R271" s="406"/>
    </row>
    <row r="272" spans="1:35" hidden="1" x14ac:dyDescent="0.2">
      <c r="R272" s="406"/>
    </row>
    <row r="273" spans="18:18" hidden="1" x14ac:dyDescent="0.2">
      <c r="R273" s="406"/>
    </row>
    <row r="274" spans="18:18" hidden="1" x14ac:dyDescent="0.2">
      <c r="R274" s="400">
        <v>4</v>
      </c>
    </row>
    <row r="275" spans="18:18" hidden="1" x14ac:dyDescent="0.2"/>
    <row r="276" spans="18:18" hidden="1" x14ac:dyDescent="0.2"/>
    <row r="277" spans="18:18" hidden="1" x14ac:dyDescent="0.2"/>
    <row r="278" spans="18:18" hidden="1" x14ac:dyDescent="0.2"/>
    <row r="279" spans="18:18" hidden="1" x14ac:dyDescent="0.2"/>
  </sheetData>
  <sheetProtection selectLockedCells="1"/>
  <mergeCells count="7">
    <mergeCell ref="L25:P25"/>
    <mergeCell ref="N18:O18"/>
    <mergeCell ref="K19:M20"/>
    <mergeCell ref="N19:O20"/>
    <mergeCell ref="L22:P22"/>
    <mergeCell ref="L23:P23"/>
    <mergeCell ref="L24:P24"/>
  </mergeCells>
  <conditionalFormatting sqref="L30:L31">
    <cfRule type="expression" dxfId="344" priority="115">
      <formula>$E$12="Nicht vorhanden"</formula>
    </cfRule>
  </conditionalFormatting>
  <conditionalFormatting sqref="L49:L55 L60 L62:L65">
    <cfRule type="expression" dxfId="343" priority="114">
      <formula>$C$41="Nicht vorhanden"</formula>
    </cfRule>
  </conditionalFormatting>
  <conditionalFormatting sqref="L58:L59">
    <cfRule type="expression" dxfId="342" priority="113">
      <formula>$C$41="Nicht vorhanden"</formula>
    </cfRule>
  </conditionalFormatting>
  <conditionalFormatting sqref="L29">
    <cfRule type="expression" dxfId="341" priority="112">
      <formula>$E$12="Nicht vorhanden"</formula>
    </cfRule>
  </conditionalFormatting>
  <conditionalFormatting sqref="L89">
    <cfRule type="expression" dxfId="340" priority="111">
      <formula>$E$12="Nicht vorhanden"</formula>
    </cfRule>
  </conditionalFormatting>
  <conditionalFormatting sqref="K109:L109 K60 K62:K65">
    <cfRule type="expression" dxfId="339" priority="110">
      <formula>$C$39="Nicht vorhanden"</formula>
    </cfRule>
  </conditionalFormatting>
  <conditionalFormatting sqref="M89">
    <cfRule type="expression" dxfId="338" priority="109">
      <formula>$E$12="Nicht vorhanden"</formula>
    </cfRule>
  </conditionalFormatting>
  <conditionalFormatting sqref="O89">
    <cfRule type="expression" dxfId="337" priority="108">
      <formula>$E$12="Nicht vorhanden"</formula>
    </cfRule>
  </conditionalFormatting>
  <conditionalFormatting sqref="M68:N69">
    <cfRule type="expression" dxfId="336" priority="89">
      <formula>rF1.CheckAxForceCalculation=TRUE</formula>
    </cfRule>
  </conditionalFormatting>
  <conditionalFormatting sqref="O139 O148:O150 O34:O38 O41:O45">
    <cfRule type="expression" dxfId="335" priority="1">
      <formula>rF1.CheckWallNotExisting=1</formula>
    </cfRule>
  </conditionalFormatting>
  <conditionalFormatting sqref="L34">
    <cfRule type="expression" dxfId="334" priority="106">
      <formula>$E$12="Nicht vorhanden"</formula>
    </cfRule>
  </conditionalFormatting>
  <conditionalFormatting sqref="P70">
    <cfRule type="expression" dxfId="333" priority="105">
      <formula>rF1.CheckAxForceCalculation=FALSE</formula>
    </cfRule>
  </conditionalFormatting>
  <conditionalFormatting sqref="M139 M41 M33:M39 M44:M45">
    <cfRule type="expression" dxfId="332" priority="69">
      <formula>OR(rF1.CheckFoundation=1,rF1.CheckBasePlate=1)</formula>
    </cfRule>
  </conditionalFormatting>
  <conditionalFormatting sqref="M68">
    <cfRule type="cellIs" dxfId="331" priority="107" operator="lessThan">
      <formula>rF1.WallAxForceDeadTop</formula>
    </cfRule>
  </conditionalFormatting>
  <conditionalFormatting sqref="M69">
    <cfRule type="cellIs" dxfId="330" priority="101" operator="lessThan">
      <formula>rF1.WallAxForceDeadTop</formula>
    </cfRule>
    <cfRule type="cellIs" dxfId="329" priority="102" operator="lessThan">
      <formula>rF1.WallAxForceDeadMiddleInput</formula>
    </cfRule>
  </conditionalFormatting>
  <conditionalFormatting sqref="N68">
    <cfRule type="cellIs" dxfId="328" priority="100" operator="lessThan">
      <formula>rF1.WallAxForceLiveTop</formula>
    </cfRule>
  </conditionalFormatting>
  <conditionalFormatting sqref="N69">
    <cfRule type="cellIs" dxfId="327" priority="90" operator="lessThan">
      <formula>rF1.WallAxForceLiveTop</formula>
    </cfRule>
    <cfRule type="cellIs" dxfId="326" priority="99" operator="lessThan">
      <formula>rF1.WallAxForceLiveMiddle</formula>
    </cfRule>
  </conditionalFormatting>
  <conditionalFormatting sqref="M53">
    <cfRule type="cellIs" dxfId="325" priority="94" operator="greaterThan">
      <formula>INDEX(rF1.SlabSpanParallel,1,1)</formula>
    </cfRule>
    <cfRule type="cellIs" dxfId="324" priority="98" operator="lessThan">
      <formula>rF1.MinInfluenceWidth01</formula>
    </cfRule>
  </conditionalFormatting>
  <conditionalFormatting sqref="N53">
    <cfRule type="cellIs" dxfId="323" priority="93" operator="greaterThan">
      <formula>INDEX(rF1.SlabSpanParallel,1,2)</formula>
    </cfRule>
    <cfRule type="cellIs" dxfId="322" priority="97" operator="lessThan">
      <formula>rF1.MinInfluenceWidth02</formula>
    </cfRule>
  </conditionalFormatting>
  <conditionalFormatting sqref="P51:P54">
    <cfRule type="expression" dxfId="321" priority="96">
      <formula>rF1.CheckSlabExisting04=0</formula>
    </cfRule>
  </conditionalFormatting>
  <conditionalFormatting sqref="O51:O54">
    <cfRule type="expression" dxfId="320" priority="95">
      <formula>rF1.CheckSlabExisting03=0</formula>
    </cfRule>
  </conditionalFormatting>
  <conditionalFormatting sqref="N42">
    <cfRule type="expression" dxfId="319" priority="92">
      <formula>rF1.CheckBendingMomentSlabTop=FALSE</formula>
    </cfRule>
  </conditionalFormatting>
  <conditionalFormatting sqref="N43">
    <cfRule type="expression" dxfId="318" priority="91">
      <formula>rF1.CheckBendingMomentSlabBottom=FALSE</formula>
    </cfRule>
  </conditionalFormatting>
  <conditionalFormatting sqref="K44:K47">
    <cfRule type="expression" dxfId="317" priority="88">
      <formula>$E$11="Nicht vorhanden"</formula>
    </cfRule>
  </conditionalFormatting>
  <conditionalFormatting sqref="K30:K31">
    <cfRule type="expression" dxfId="316" priority="87">
      <formula>$E$11="Nicht vorhanden"</formula>
    </cfRule>
  </conditionalFormatting>
  <conditionalFormatting sqref="K49:K55">
    <cfRule type="expression" dxfId="315" priority="86">
      <formula>$C$39="Nicht vorhanden"</formula>
    </cfRule>
  </conditionalFormatting>
  <conditionalFormatting sqref="K58:K59">
    <cfRule type="expression" dxfId="314" priority="85">
      <formula>$C$39="Nicht vorhanden"</formula>
    </cfRule>
  </conditionalFormatting>
  <conditionalFormatting sqref="K29">
    <cfRule type="expression" dxfId="313" priority="84">
      <formula>$E$11="Nicht vorhanden"</formula>
    </cfRule>
  </conditionalFormatting>
  <conditionalFormatting sqref="K89">
    <cfRule type="expression" dxfId="312" priority="83">
      <formula>$E$11="Nicht vorhanden"</formula>
    </cfRule>
  </conditionalFormatting>
  <conditionalFormatting sqref="K34">
    <cfRule type="expression" dxfId="311" priority="82">
      <formula>$E$11="Nicht vorhanden"</formula>
    </cfRule>
  </conditionalFormatting>
  <conditionalFormatting sqref="N89">
    <cfRule type="expression" dxfId="310" priority="81">
      <formula>$E$11="Nicht vorhanden"</formula>
    </cfRule>
  </conditionalFormatting>
  <conditionalFormatting sqref="K106">
    <cfRule type="expression" dxfId="309" priority="80">
      <formula>$E$11="Nicht vorhanden"</formula>
    </cfRule>
  </conditionalFormatting>
  <conditionalFormatting sqref="M43">
    <cfRule type="expression" dxfId="308" priority="79">
      <formula>OR(rF1.CheckFoundation=1,rF1.CheckBasePlate=1)</formula>
    </cfRule>
  </conditionalFormatting>
  <conditionalFormatting sqref="M79:O79 M81:O81 M83:O83 M85:O85 M87:O87 M76:O77">
    <cfRule type="expression" dxfId="307" priority="4">
      <formula>rF1.CheckWoodenSlabCalc</formula>
    </cfRule>
  </conditionalFormatting>
  <conditionalFormatting sqref="M80:O80 M82:O82 M86:O86">
    <cfRule type="expression" dxfId="306" priority="71">
      <formula>rF1.CheckWoodenSlabCalc</formula>
    </cfRule>
  </conditionalFormatting>
  <conditionalFormatting sqref="O46:O47">
    <cfRule type="expression" dxfId="305" priority="67">
      <formula>rF1.CheckWallNotExisting=1</formula>
    </cfRule>
  </conditionalFormatting>
  <conditionalFormatting sqref="M46:M47">
    <cfRule type="expression" dxfId="304" priority="68">
      <formula>OR(rF1.CheckFoundation=1,rF1.CheckBasePlate=1)</formula>
    </cfRule>
  </conditionalFormatting>
  <conditionalFormatting sqref="M44:M45 M47">
    <cfRule type="cellIs" dxfId="303" priority="103" operator="notBetween">
      <formula>rF1.MinBearingDepthTop01</formula>
      <formula>rF1.MaxBearingDepthTop01</formula>
    </cfRule>
  </conditionalFormatting>
  <conditionalFormatting sqref="O46">
    <cfRule type="cellIs" dxfId="302" priority="70" operator="greaterThan">
      <formula>INDEX(rF1.WallThickness,1,3)</formula>
    </cfRule>
  </conditionalFormatting>
  <conditionalFormatting sqref="O60 O62:O65">
    <cfRule type="expression" dxfId="301" priority="66">
      <formula>rF1.CheckSlabExisting03=0</formula>
    </cfRule>
  </conditionalFormatting>
  <conditionalFormatting sqref="P60 P62:P65">
    <cfRule type="expression" dxfId="300" priority="65">
      <formula>rF1.CheckSlabExisting04=0</formula>
    </cfRule>
  </conditionalFormatting>
  <conditionalFormatting sqref="P58:P59">
    <cfRule type="expression" dxfId="299" priority="64">
      <formula>rF1.CheckSlabExisting04=0</formula>
    </cfRule>
  </conditionalFormatting>
  <conditionalFormatting sqref="O58:O59">
    <cfRule type="expression" dxfId="298" priority="63">
      <formula>rF1.CheckSlabExisting03=0</formula>
    </cfRule>
  </conditionalFormatting>
  <conditionalFormatting sqref="M65">
    <cfRule type="cellIs" dxfId="297" priority="62" operator="greaterThan">
      <formula>rF1.MaximumDistanceLineLoad01</formula>
    </cfRule>
  </conditionalFormatting>
  <conditionalFormatting sqref="N65">
    <cfRule type="cellIs" dxfId="296" priority="61" operator="greaterThan">
      <formula>rF1.MaximumDistanceLineLoad02</formula>
    </cfRule>
  </conditionalFormatting>
  <conditionalFormatting sqref="O65">
    <cfRule type="cellIs" dxfId="295" priority="60" operator="greaterThan">
      <formula>rF1.MaximumDistanceLineLoad03</formula>
    </cfRule>
  </conditionalFormatting>
  <conditionalFormatting sqref="P65">
    <cfRule type="cellIs" dxfId="294" priority="59" operator="greaterThan">
      <formula>rF1.MaximumDistanceLineLoad04</formula>
    </cfRule>
  </conditionalFormatting>
  <conditionalFormatting sqref="N58:N60 P58:P60 N62:N65 P62:P65">
    <cfRule type="expression" dxfId="293" priority="57">
      <formula>rF1.CheckBendingMomentSlabTop</formula>
    </cfRule>
  </conditionalFormatting>
  <conditionalFormatting sqref="M58:M60 M62:M65 O58:O60 O62:O65">
    <cfRule type="expression" dxfId="292" priority="58">
      <formula>rF1.CheckBendingMomentSlabBottom</formula>
    </cfRule>
  </conditionalFormatting>
  <conditionalFormatting sqref="M58:M60 M62:M65 O58:O60 O62:O65">
    <cfRule type="expression" dxfId="291" priority="56">
      <formula>rF1.CheckWoodenSlab01</formula>
    </cfRule>
  </conditionalFormatting>
  <conditionalFormatting sqref="N58:N60 N62:N65 P58:P60 P62:P65">
    <cfRule type="expression" dxfId="290" priority="55">
      <formula>rF1.CheckWoodenSlab02</formula>
    </cfRule>
  </conditionalFormatting>
  <conditionalFormatting sqref="O133 O135 O139 O141 O144 O146 O148 O150 O152 O154 O161 O163 O165 O167 O169 O173 O156:O158">
    <cfRule type="expression" dxfId="289" priority="54">
      <formula>rF1.CheckWallNotExisting=1</formula>
    </cfRule>
  </conditionalFormatting>
  <conditionalFormatting sqref="M170:O170">
    <cfRule type="cellIs" dxfId="288" priority="53" operator="greaterThan">
      <formula>rP1.MaxSlendernessWall</formula>
    </cfRule>
  </conditionalFormatting>
  <conditionalFormatting sqref="P170">
    <cfRule type="expression" dxfId="287" priority="52">
      <formula>rF1.WallSlenderness02&gt;rP1.MaxSlendernessWall</formula>
    </cfRule>
  </conditionalFormatting>
  <conditionalFormatting sqref="O134 O136 O138 O140 O143 O145 O147 O149 O151 O153 O155 O160 O162 O164 O166 O168 O170">
    <cfRule type="expression" dxfId="286" priority="51">
      <formula>rF1.CheckWallNotExisting=1</formula>
    </cfRule>
  </conditionalFormatting>
  <conditionalFormatting sqref="O174 O176 O178 O180 O182 O188 O190 O193 O195 O184">
    <cfRule type="expression" dxfId="285" priority="50">
      <formula>rF1.CheckSlabExisting03=0</formula>
    </cfRule>
  </conditionalFormatting>
  <conditionalFormatting sqref="O173 O175 O177 O179 O181 O189 O192 O194 O183 O185">
    <cfRule type="expression" dxfId="284" priority="49">
      <formula>rF1.CheckSlabExisting03=0</formula>
    </cfRule>
  </conditionalFormatting>
  <conditionalFormatting sqref="P173 P175 P177 P179 P181 P189 P192 P194 P183 P185">
    <cfRule type="expression" dxfId="283" priority="48">
      <formula>rF1.CheckSlabExisting04=0</formula>
    </cfRule>
  </conditionalFormatting>
  <conditionalFormatting sqref="P174 P176 P178 P180 P182 P188 P190 P193 P195 P184">
    <cfRule type="expression" dxfId="282" priority="47">
      <formula>rF1.CheckSlabExisting04=0</formula>
    </cfRule>
  </conditionalFormatting>
  <conditionalFormatting sqref="M133 M135 M139 M141 M144 M146 M148 M150 M152 M154 M161 M163 M165 M167 M169 M156:M158">
    <cfRule type="expression" dxfId="281" priority="46">
      <formula>OR(rF1.CheckFoundation=1,rF1.CheckBasePlate=1)</formula>
    </cfRule>
  </conditionalFormatting>
  <conditionalFormatting sqref="M132 M134 M136 M138 M140 M143 M145 M147 M149 M151 M153 M155 M160 M164 M166 M170">
    <cfRule type="expression" dxfId="280" priority="45">
      <formula>OR(rF1.CheckFoundation=1,rF1.CheckBasePlate=1)</formula>
    </cfRule>
  </conditionalFormatting>
  <conditionalFormatting sqref="M205">
    <cfRule type="expression" dxfId="279" priority="44">
      <formula>rF1.CheckBendingMomentSlabTop</formula>
    </cfRule>
  </conditionalFormatting>
  <conditionalFormatting sqref="M206">
    <cfRule type="expression" dxfId="278" priority="43">
      <formula>rF1.CheckBendingMomentSlabTop</formula>
    </cfRule>
  </conditionalFormatting>
  <conditionalFormatting sqref="M209">
    <cfRule type="expression" dxfId="277" priority="42">
      <formula>rF1.CheckBendingMomentSlabBottom</formula>
    </cfRule>
  </conditionalFormatting>
  <conditionalFormatting sqref="M210">
    <cfRule type="expression" dxfId="276" priority="41">
      <formula>rF1.CheckBendingMomentSlabBottom</formula>
    </cfRule>
  </conditionalFormatting>
  <conditionalFormatting sqref="M212">
    <cfRule type="expression" dxfId="275" priority="40">
      <formula>AND(rF1.CheckBendingMomentSlabTop,rF1.CheckBendingMomentSlabBottom)</formula>
    </cfRule>
  </conditionalFormatting>
  <conditionalFormatting sqref="L262:M263">
    <cfRule type="expression" dxfId="274" priority="33">
      <formula>rF1.AxResistanceBottom&gt;=rF1.WallAxForceBottom</formula>
    </cfRule>
    <cfRule type="expression" dxfId="273" priority="34">
      <formula>rF1.AxResistanceBottom&lt;rF1.WallAxForceBottom</formula>
    </cfRule>
  </conditionalFormatting>
  <conditionalFormatting sqref="L130">
    <cfRule type="expression" dxfId="272" priority="21">
      <formula>rF1.CheckWoodenSlabCalc</formula>
    </cfRule>
  </conditionalFormatting>
  <conditionalFormatting sqref="L233:M233">
    <cfRule type="expression" dxfId="271" priority="26">
      <formula>rF1.FireResNN</formula>
    </cfRule>
    <cfRule type="expression" dxfId="270" priority="30">
      <formula>rF1.LoadFactorTopFire&lt;=1</formula>
    </cfRule>
  </conditionalFormatting>
  <conditionalFormatting sqref="L251:M251">
    <cfRule type="expression" dxfId="269" priority="7">
      <formula>rF1.FireResNN</formula>
    </cfRule>
    <cfRule type="expression" dxfId="268" priority="28">
      <formula>rF1.LoadFactorMiddleFire&lt;=1</formula>
    </cfRule>
  </conditionalFormatting>
  <conditionalFormatting sqref="L267:M267">
    <cfRule type="expression" dxfId="267" priority="8">
      <formula>rF1.FireResNN</formula>
    </cfRule>
    <cfRule type="expression" dxfId="266" priority="27">
      <formula>rF1.LoadFactorBottomFire&lt;=1</formula>
    </cfRule>
  </conditionalFormatting>
  <conditionalFormatting sqref="L246:M247">
    <cfRule type="expression" dxfId="265" priority="35">
      <formula>rF1.AxResistanceMiddle&lt;rF1.WallAxForceMiddle</formula>
    </cfRule>
    <cfRule type="expression" dxfId="264" priority="36">
      <formula>rF1.AxResistanceMiddle&gt;=rF1.WallAxForceMiddle</formula>
    </cfRule>
  </conditionalFormatting>
  <conditionalFormatting sqref="N44">
    <cfRule type="cellIs" dxfId="263" priority="25" operator="notBetween">
      <formula>rF1.MinBearingDepthTop02</formula>
      <formula>rF1.MaxBearingDepthTop02</formula>
    </cfRule>
  </conditionalFormatting>
  <conditionalFormatting sqref="N45">
    <cfRule type="cellIs" dxfId="262" priority="24" operator="notBetween">
      <formula>rF1.MinBearingDepthBottom02</formula>
      <formula>rF1.MaxBearingDepthBottom02</formula>
    </cfRule>
  </conditionalFormatting>
  <conditionalFormatting sqref="O70">
    <cfRule type="expression" dxfId="261" priority="23">
      <formula>rF1.CheckAxForceCalculation=FALSE</formula>
    </cfRule>
  </conditionalFormatting>
  <conditionalFormatting sqref="M40">
    <cfRule type="expression" dxfId="260" priority="22">
      <formula>OR(rF1.CheckFoundation=1,rF1.CheckBasePlate=1)</formula>
    </cfRule>
  </conditionalFormatting>
  <conditionalFormatting sqref="M162">
    <cfRule type="expression" dxfId="259" priority="39">
      <formula>rF1.CheckFoundation</formula>
    </cfRule>
  </conditionalFormatting>
  <conditionalFormatting sqref="L228:M229">
    <cfRule type="expression" dxfId="258" priority="37">
      <formula>rF1.AxResistanceTop&lt;rF1.WallAxForceTop</formula>
    </cfRule>
    <cfRule type="expression" dxfId="257" priority="38">
      <formula>rF1.AxResistanceTop&gt;=rF1.WallAxForceTop</formula>
    </cfRule>
  </conditionalFormatting>
  <conditionalFormatting sqref="L233:N233">
    <cfRule type="expression" dxfId="256" priority="31">
      <formula>rF1.LoadFactorTopFire&gt;1</formula>
    </cfRule>
  </conditionalFormatting>
  <conditionalFormatting sqref="L251:N251">
    <cfRule type="expression" dxfId="255" priority="29">
      <formula>rF1.LoadFactorMiddleFire&gt;1</formula>
    </cfRule>
  </conditionalFormatting>
  <conditionalFormatting sqref="L267:N267">
    <cfRule type="expression" dxfId="254" priority="32">
      <formula>rF1.LoadFactorBottomFire&gt;1</formula>
    </cfRule>
  </conditionalFormatting>
  <conditionalFormatting sqref="M81:M83">
    <cfRule type="expression" dxfId="253" priority="73">
      <formula>rF1.LoadFactorTop&lt;=1</formula>
    </cfRule>
    <cfRule type="expression" dxfId="252" priority="76">
      <formula>rF1.LoadFactorTop&gt;1</formula>
    </cfRule>
  </conditionalFormatting>
  <conditionalFormatting sqref="N81:N83">
    <cfRule type="expression" dxfId="251" priority="74">
      <formula>rF1.LoadFactorMiddle&lt;=1</formula>
    </cfRule>
    <cfRule type="expression" dxfId="250" priority="77">
      <formula>rF1.LoadFactorMiddle&gt;1</formula>
    </cfRule>
  </conditionalFormatting>
  <conditionalFormatting sqref="O81:O83">
    <cfRule type="expression" dxfId="249" priority="75">
      <formula>rF1.LoadFactorBottom&lt;=1</formula>
    </cfRule>
    <cfRule type="expression" dxfId="248" priority="78">
      <formula>rF1.LoadFactorBottom&gt;1</formula>
    </cfRule>
  </conditionalFormatting>
  <conditionalFormatting sqref="M87">
    <cfRule type="expression" dxfId="247" priority="18">
      <formula>rF1.LoadFactorTopFire&lt;=1</formula>
    </cfRule>
    <cfRule type="expression" dxfId="246" priority="72">
      <formula>rF1.LoadFactorTopFire&gt;1</formula>
    </cfRule>
  </conditionalFormatting>
  <conditionalFormatting sqref="N87">
    <cfRule type="expression" dxfId="245" priority="16">
      <formula>rF1.LoadFactorMiddleFire&lt;=1</formula>
    </cfRule>
    <cfRule type="expression" dxfId="244" priority="19">
      <formula>rF1.LoadFactorMiddleFire&gt;1</formula>
    </cfRule>
  </conditionalFormatting>
  <conditionalFormatting sqref="O87">
    <cfRule type="expression" dxfId="243" priority="17">
      <formula>rF1.LoadFactorBottomFire&lt;=1</formula>
    </cfRule>
    <cfRule type="expression" dxfId="242" priority="20">
      <formula>rF1.LoadFactorBottomFire&gt;1</formula>
    </cfRule>
  </conditionalFormatting>
  <conditionalFormatting sqref="K231 M231:Q231 M249 K267:Q267 M265 K232:Q248 K251:Q264 K250:M250 O249:Q250 K266:M266 O265:Q266 R132:R273 K130:Q230">
    <cfRule type="expression" dxfId="241" priority="6">
      <formula>rF1.CheckWoodenSlabCalc</formula>
    </cfRule>
  </conditionalFormatting>
  <conditionalFormatting sqref="O157">
    <cfRule type="expression" dxfId="240" priority="14">
      <formula>rF1.CheckWallNotExisting=1</formula>
    </cfRule>
  </conditionalFormatting>
  <conditionalFormatting sqref="M157">
    <cfRule type="expression" dxfId="239" priority="13">
      <formula>OR(rF1.CheckFoundation=1,rF1.CheckBasePlate=1)</formula>
    </cfRule>
  </conditionalFormatting>
  <conditionalFormatting sqref="K249">
    <cfRule type="expression" dxfId="238" priority="12">
      <formula>rF1.CheckWoodenSlabCalc</formula>
    </cfRule>
  </conditionalFormatting>
  <conditionalFormatting sqref="K265">
    <cfRule type="expression" dxfId="237" priority="11">
      <formula>rF1.CheckWoodenSlabCalc</formula>
    </cfRule>
  </conditionalFormatting>
  <conditionalFormatting sqref="N249:N250">
    <cfRule type="expression" dxfId="236" priority="10">
      <formula>rF1.CheckWoodenSlabCalc</formula>
    </cfRule>
  </conditionalFormatting>
  <conditionalFormatting sqref="N265:N266">
    <cfRule type="expression" dxfId="235" priority="9">
      <formula>rF1.CheckWoodenSlabCalc</formula>
    </cfRule>
  </conditionalFormatting>
  <conditionalFormatting sqref="R132:R273 K130:Q267">
    <cfRule type="expression" dxfId="234" priority="5">
      <formula>rF1.CheckShowDetails=FALSE</formula>
    </cfRule>
  </conditionalFormatting>
  <conditionalFormatting sqref="M87:O87">
    <cfRule type="expression" dxfId="233" priority="15">
      <formula>rF1.FireResNN</formula>
    </cfRule>
  </conditionalFormatting>
  <conditionalFormatting sqref="P44">
    <cfRule type="expression" dxfId="232" priority="3">
      <formula>rF1.CheckCantilever04</formula>
    </cfRule>
  </conditionalFormatting>
  <conditionalFormatting sqref="P45">
    <cfRule type="expression" dxfId="231" priority="2">
      <formula>rF1.CheckCantilever03</formula>
    </cfRule>
  </conditionalFormatting>
  <conditionalFormatting sqref="O45">
    <cfRule type="cellIs" dxfId="230" priority="104" operator="notBetween">
      <formula>rF1.MinBearingDepthBottom03</formula>
      <formula>rF1.MaxBearingDepthBottom03</formula>
    </cfRule>
  </conditionalFormatting>
  <dataValidations count="28">
    <dataValidation type="decimal" allowBlank="1" showInputMessage="1" showErrorMessage="1" errorTitle="Eingabefehler" error="Der Abstand muss größer oder gleich der minimalen Auflagertiefe (siehe Manual) und kleiner als die Dicke von Wand 3 sein!" sqref="O45" xr:uid="{00000000-0002-0000-0300-000000000000}">
      <formula1>0</formula1>
      <formula2>rF1.MaxBearingDepthBottom03</formula2>
    </dataValidation>
    <dataValidation type="decimal" allowBlank="1" showInputMessage="1" showErrorMessage="1" errorTitle="Eingabefehler" error="Der Abstand muss größer oder gleich der minimalen Auflagertiefe (siehe Manual) und kleiner als die Dicke von Wand 2 sein!" sqref="N44:N45" xr:uid="{00000000-0002-0000-0300-000001000000}">
      <formula1>0</formula1>
      <formula2>rF1.MaxBearingDepthBottom02</formula2>
    </dataValidation>
    <dataValidation type="decimal" allowBlank="1" showInputMessage="1" showErrorMessage="1" errorTitle="Eingabefehler" error="Der Abstand muss größer oder gleich der minimalen Auflagertiefe (siehe Manual) und kleiner als die Dicke von Wand 1 sein!" sqref="M44" xr:uid="{00000000-0002-0000-0300-000002000000}">
      <formula1>0</formula1>
      <formula2>rF1.MaxBearingDepthTop01</formula2>
    </dataValidation>
    <dataValidation operator="greaterThan" allowBlank="1" showInputMessage="1" showErrorMessage="1" errorTitle="Eingabefehler" error="Die Wandlänge muss größer als 0 sein!" sqref="O38 M38" xr:uid="{00000000-0002-0000-0300-000003000000}"/>
    <dataValidation operator="greaterThanOrEqual" allowBlank="1" showInputMessage="1" showErrorMessage="1" errorTitle="Eingabefehler" error="Die Lasten müßen größer oder gleich 0 sein!" sqref="M72" xr:uid="{00000000-0002-0000-0300-000004000000}"/>
    <dataValidation type="decimal" allowBlank="1" showInputMessage="1" showErrorMessage="1" errorTitle="Eingabefehler" error="Der Abstand muss größer oder gleich 0 und kleiner als die Dicke von Wand 1 sein!" sqref="M45" xr:uid="{00000000-0002-0000-0300-000005000000}">
      <formula1>0</formula1>
      <formula2>INDEX(rF1.WallThickness,1,1)</formula2>
    </dataValidation>
    <dataValidation allowBlank="1" showInputMessage="1" showErrorMessage="1" errorTitle="Input error" error="Wall height must be greater than 0!" sqref="M42:M43" xr:uid="{00000000-0002-0000-0300-000006000000}"/>
    <dataValidation type="decimal" operator="greaterThanOrEqual" allowBlank="1" showInputMessage="1" showErrorMessage="1" errorTitle="Eingabefehler" error="Die Belastung muss größer oder gleich 0 sein!" sqref="M58:P59 M62:P63" xr:uid="{00000000-0002-0000-0300-000007000000}">
      <formula1>0</formula1>
    </dataValidation>
    <dataValidation type="decimal" operator="greaterThan" allowBlank="1" showInputMessage="1" showErrorMessage="1" errorTitle="Eingabefehler" error="Die Wandhöhe muss größer als 0 sein!" sqref="M35:O35" xr:uid="{00000000-0002-0000-0300-000008000000}">
      <formula1>0</formula1>
    </dataValidation>
    <dataValidation type="decimal" allowBlank="1" showInputMessage="1" showErrorMessage="1" errorTitle="Eingabefehler" error="Der Abstand muss größer oder gleich 0 und kleiner als die Dicke von Wand 2, sowie Wand 3 sein!" sqref="O44" xr:uid="{00000000-0002-0000-0300-000009000000}">
      <formula1>0</formula1>
      <formula2>rF1.MaxBearingDepthTop02</formula2>
    </dataValidation>
    <dataValidation type="decimal" allowBlank="1" showInputMessage="1" showErrorMessage="1" errorTitle="Eingabefehler" error="Die Position der Linienlast muss innerhalb der Deckengrenzen liegen!" sqref="P65" xr:uid="{00000000-0002-0000-0300-00000A000000}">
      <formula1>0</formula1>
      <formula2>rF1.MaximumDistanceLineLoad04</formula2>
    </dataValidation>
    <dataValidation type="decimal" allowBlank="1" showInputMessage="1" showErrorMessage="1" errorTitle="Eingabefehler" error="Die Position der Linienlast muss innerhalb der Deckengrenzen liegen!" sqref="O65" xr:uid="{00000000-0002-0000-0300-00000B000000}">
      <formula1>0</formula1>
      <formula2>rF1.MaximumDistanceLineLoad03</formula2>
    </dataValidation>
    <dataValidation type="decimal" allowBlank="1" showInputMessage="1" showErrorMessage="1" errorTitle="Eingabefehler" error="Die Position der Linienlast muss innerhalb der Deckengrenzen liegen!" sqref="N65" xr:uid="{00000000-0002-0000-0300-00000C000000}">
      <formula1>0</formula1>
      <formula2>rF1.MaximumDistanceLineLoad02</formula2>
    </dataValidation>
    <dataValidation type="decimal" allowBlank="1" showInputMessage="1" showErrorMessage="1" errorTitle="Eingabefehler" error="Die Position der Linienlast muss innerhalb der Deckengrenzen liegen!" sqref="M65" xr:uid="{00000000-0002-0000-0300-00000D000000}">
      <formula1>0</formula1>
      <formula2>rF1.MaximumDistanceLineLoad01</formula2>
    </dataValidation>
    <dataValidation type="decimal" allowBlank="1" showInputMessage="1" showErrorMessage="1" errorTitle="Eingabefehler" error="Die Ausmitte muss zwischen -t/2 und t/2 betragen!" sqref="N42:N43" xr:uid="{00000000-0002-0000-0300-00000E000000}">
      <formula1>-rF1.WallThickness02/2</formula1>
      <formula2>rF1.WallThickness02/2</formula2>
    </dataValidation>
    <dataValidation type="decimal" operator="greaterThanOrEqual" allowBlank="1" showInputMessage="1" showErrorMessage="1" errorTitle="Eingabefehler" error="Die Normalkraft im Wandfuß muss größer oder gleich der Normalkraft in Wandmitte sein!" sqref="M69" xr:uid="{00000000-0002-0000-0300-00000F000000}">
      <formula1>rF1.WallAxForceDeadMiddleInput</formula1>
    </dataValidation>
    <dataValidation type="decimal" operator="greaterThanOrEqual" allowBlank="1" showErrorMessage="1" errorTitle="Eingabefehler" error="Die Normalkraft im Wandfuß muss größer oder gleich der Normalkraft in Wandmitte sein!" sqref="N69" xr:uid="{00000000-0002-0000-0300-000010000000}">
      <formula1>rF1.WallAxForceLiveMiddle</formula1>
    </dataValidation>
    <dataValidation type="decimal" operator="greaterThanOrEqual" allowBlank="1" showErrorMessage="1" errorTitle="Eingabefehler" error="Die Normalkraft in Wandmitte muss größer oder gleich der Normalkraft im Wandkopf sein!" sqref="N68" xr:uid="{00000000-0002-0000-0300-000011000000}">
      <formula1>rF1.WallAxForceLiveTop</formula1>
    </dataValidation>
    <dataValidation type="decimal" allowBlank="1" showInputMessage="1" showErrorMessage="1" errorTitle="Eingabefehler" error="Die Einflussbreite muss größer als die Länge von Wand 1, sowie Wand 2 und kleiner als die Deckenspannweite parallel zur Wand sein!" sqref="M53" xr:uid="{00000000-0002-0000-0300-000012000000}">
      <formula1>rF1.MinInfluenceWidth01</formula1>
      <formula2>INDEX(rF1.SlabSpanParallel,1,1)</formula2>
    </dataValidation>
    <dataValidation type="decimal" allowBlank="1" showInputMessage="1" showErrorMessage="1" errorTitle="Eingabefehler" error="Die Einflussbreite muss größer als die Länge von Wand 2, sowie Wand 3 und kleiner als die Deckenspannweite parallel zur Wand sein!" sqref="N53" xr:uid="{00000000-0002-0000-0300-000013000000}">
      <formula1>rF1.MinInfluenceWidth02</formula1>
      <formula2>INDEX(rF1.SlabSpanParallel,1,2)</formula2>
    </dataValidation>
    <dataValidation operator="greaterThan" allowBlank="1" showInputMessage="1" showErrorMessage="1" sqref="O53:P53" xr:uid="{00000000-0002-0000-0300-000014000000}"/>
    <dataValidation type="whole" allowBlank="1" showInputMessage="1" showErrorMessage="1" errorTitle="Input error" error="Wall height must be greater than 0!" sqref="O41:O43 M41:N41" xr:uid="{00000000-0002-0000-0300-000015000000}">
      <formula1>0</formula1>
      <formula2>2</formula2>
    </dataValidation>
    <dataValidation type="decimal" operator="greaterThanOrEqual" allowBlank="1" showInputMessage="1" showErrorMessage="1" errorTitle="Input error" error="Loads must be grater or equal to 0!" sqref="M67 M64:P64 M60:P60" xr:uid="{00000000-0002-0000-0300-000016000000}">
      <formula1>0</formula1>
    </dataValidation>
    <dataValidation type="decimal" operator="greaterThanOrEqual" allowBlank="1" showInputMessage="1" showErrorMessage="1" errorTitle="Input error" error="Loads must be grater or equal to axial force in wall middle!" sqref="M70" xr:uid="{00000000-0002-0000-0300-000017000000}">
      <formula1>rF1.WallAxForceDeadMiddleInput</formula1>
    </dataValidation>
    <dataValidation type="decimal" operator="greaterThanOrEqual" allowBlank="1" showErrorMessage="1" errorTitle="Eingabefehler" error="Die Normalkraft in Wandmitte muss größer oder gleich der Normalkraft im Wandkopf sein!" sqref="M68" xr:uid="{00000000-0002-0000-0300-000018000000}">
      <formula1>rF1.WallAxForceDeadTop</formula1>
    </dataValidation>
    <dataValidation type="decimal" operator="greaterThan" allowBlank="1" showInputMessage="1" showErrorMessage="1" errorTitle="Eingabefehler" error="Die Deckendicke muss größer als 0 sein!" sqref="M54:P54" xr:uid="{00000000-0002-0000-0300-000019000000}">
      <formula1>0</formula1>
    </dataValidation>
    <dataValidation type="decimal" operator="greaterThan" allowBlank="1" showInputMessage="1" showErrorMessage="1" errorTitle="Eingabefehler" error="Die Deckenspannweite muss größer als 0 sein!" sqref="M51:P52" xr:uid="{00000000-0002-0000-0300-00001A000000}">
      <formula1>0</formula1>
    </dataValidation>
    <dataValidation type="decimal" operator="greaterThan" allowBlank="1" showInputMessage="1" showErrorMessage="1" errorTitle="Eingabefehler" error="Die Wandlänge muss größer als 0 sein!" sqref="O36:O37 N36:N38 M36:M37" xr:uid="{00000000-0002-0000-0300-00001B000000}">
      <formula1>0</formula1>
    </dataValidation>
  </dataValidations>
  <printOptions horizontalCentered="1" verticalCentered="1"/>
  <pageMargins left="0.98425196850393704" right="0.98425196850393704" top="0.70866141732283472" bottom="0.47244094488188981" header="0.31496062992125984" footer="0.19685039370078741"/>
  <pageSetup paperSize="9" scale="64" fitToHeight="0" orientation="landscape" horizontalDpi="4294967293" verticalDpi="1200" r:id="rId1"/>
  <headerFooter>
    <oddHeader>&amp;L&amp;"-,Fett"&amp;K000000
&amp;14N&amp;YRd&amp;Y-Pro Tool&amp;R&amp;G</oddHeader>
    <oddFooter>&amp;R&amp;P von &amp;N</oddFooter>
  </headerFooter>
  <rowBreaks count="5" manualBreakCount="5">
    <brk id="55" min="10" max="16" man="1"/>
    <brk id="87" min="10" max="16" man="1"/>
    <brk id="128" min="10" max="16" man="1"/>
    <brk id="170" min="10" max="16" man="1"/>
    <brk id="216" min="10" max="16"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5601" r:id="rId5" name="Drop Down 1">
              <controlPr defaultSize="0" autoLine="0" autoPict="0">
                <anchor moveWithCells="1">
                  <from>
                    <xdr:col>12</xdr:col>
                    <xdr:colOff>38100</xdr:colOff>
                    <xdr:row>29</xdr:row>
                    <xdr:rowOff>38100</xdr:rowOff>
                  </from>
                  <to>
                    <xdr:col>12</xdr:col>
                    <xdr:colOff>2286000</xdr:colOff>
                    <xdr:row>30</xdr:row>
                    <xdr:rowOff>0</xdr:rowOff>
                  </to>
                </anchor>
              </controlPr>
            </control>
          </mc:Choice>
        </mc:AlternateContent>
        <mc:AlternateContent xmlns:mc="http://schemas.openxmlformats.org/markup-compatibility/2006">
          <mc:Choice Requires="x14">
            <control shapeId="25602" r:id="rId6" name="Drop Down 2">
              <controlPr defaultSize="0" autoLine="0" autoPict="0">
                <anchor moveWithCells="1">
                  <from>
                    <xdr:col>13</xdr:col>
                    <xdr:colOff>47625</xdr:colOff>
                    <xdr:row>29</xdr:row>
                    <xdr:rowOff>38100</xdr:rowOff>
                  </from>
                  <to>
                    <xdr:col>13</xdr:col>
                    <xdr:colOff>2286000</xdr:colOff>
                    <xdr:row>30</xdr:row>
                    <xdr:rowOff>0</xdr:rowOff>
                  </to>
                </anchor>
              </controlPr>
            </control>
          </mc:Choice>
        </mc:AlternateContent>
        <mc:AlternateContent xmlns:mc="http://schemas.openxmlformats.org/markup-compatibility/2006">
          <mc:Choice Requires="x14">
            <control shapeId="25603" r:id="rId7" name="Drop Down 3">
              <controlPr defaultSize="0" autoLine="0" autoPict="0">
                <anchor moveWithCells="1">
                  <from>
                    <xdr:col>14</xdr:col>
                    <xdr:colOff>47625</xdr:colOff>
                    <xdr:row>29</xdr:row>
                    <xdr:rowOff>38100</xdr:rowOff>
                  </from>
                  <to>
                    <xdr:col>14</xdr:col>
                    <xdr:colOff>2286000</xdr:colOff>
                    <xdr:row>30</xdr:row>
                    <xdr:rowOff>0</xdr:rowOff>
                  </to>
                </anchor>
              </controlPr>
            </control>
          </mc:Choice>
        </mc:AlternateContent>
        <mc:AlternateContent xmlns:mc="http://schemas.openxmlformats.org/markup-compatibility/2006">
          <mc:Choice Requires="x14">
            <control shapeId="25604" r:id="rId8" name="Drop Down 4">
              <controlPr defaultSize="0" autoLine="0" autoPict="0">
                <anchor moveWithCells="1">
                  <from>
                    <xdr:col>13</xdr:col>
                    <xdr:colOff>47625</xdr:colOff>
                    <xdr:row>38</xdr:row>
                    <xdr:rowOff>19050</xdr:rowOff>
                  </from>
                  <to>
                    <xdr:col>13</xdr:col>
                    <xdr:colOff>2286000</xdr:colOff>
                    <xdr:row>39</xdr:row>
                    <xdr:rowOff>0</xdr:rowOff>
                  </to>
                </anchor>
              </controlPr>
            </control>
          </mc:Choice>
        </mc:AlternateContent>
        <mc:AlternateContent xmlns:mc="http://schemas.openxmlformats.org/markup-compatibility/2006">
          <mc:Choice Requires="x14">
            <control shapeId="25605" r:id="rId9" name="Drop Down 5">
              <controlPr defaultSize="0" autoLine="0" autoPict="0">
                <anchor moveWithCells="1">
                  <from>
                    <xdr:col>14</xdr:col>
                    <xdr:colOff>47625</xdr:colOff>
                    <xdr:row>38</xdr:row>
                    <xdr:rowOff>19050</xdr:rowOff>
                  </from>
                  <to>
                    <xdr:col>14</xdr:col>
                    <xdr:colOff>2286000</xdr:colOff>
                    <xdr:row>39</xdr:row>
                    <xdr:rowOff>0</xdr:rowOff>
                  </to>
                </anchor>
              </controlPr>
            </control>
          </mc:Choice>
        </mc:AlternateContent>
        <mc:AlternateContent xmlns:mc="http://schemas.openxmlformats.org/markup-compatibility/2006">
          <mc:Choice Requires="x14">
            <control shapeId="25606" r:id="rId10" name="Drop Down 6">
              <controlPr defaultSize="0" autoLine="0" autoPict="0">
                <anchor moveWithCells="1">
                  <from>
                    <xdr:col>12</xdr:col>
                    <xdr:colOff>47625</xdr:colOff>
                    <xdr:row>48</xdr:row>
                    <xdr:rowOff>19050</xdr:rowOff>
                  </from>
                  <to>
                    <xdr:col>12</xdr:col>
                    <xdr:colOff>2286000</xdr:colOff>
                    <xdr:row>49</xdr:row>
                    <xdr:rowOff>0</xdr:rowOff>
                  </to>
                </anchor>
              </controlPr>
            </control>
          </mc:Choice>
        </mc:AlternateContent>
        <mc:AlternateContent xmlns:mc="http://schemas.openxmlformats.org/markup-compatibility/2006">
          <mc:Choice Requires="x14">
            <control shapeId="25607" r:id="rId11" name="Drop Down 7">
              <controlPr defaultSize="0" autoLine="0" autoPict="0">
                <anchor moveWithCells="1">
                  <from>
                    <xdr:col>12</xdr:col>
                    <xdr:colOff>47625</xdr:colOff>
                    <xdr:row>49</xdr:row>
                    <xdr:rowOff>19050</xdr:rowOff>
                  </from>
                  <to>
                    <xdr:col>12</xdr:col>
                    <xdr:colOff>2286000</xdr:colOff>
                    <xdr:row>50</xdr:row>
                    <xdr:rowOff>0</xdr:rowOff>
                  </to>
                </anchor>
              </controlPr>
            </control>
          </mc:Choice>
        </mc:AlternateContent>
        <mc:AlternateContent xmlns:mc="http://schemas.openxmlformats.org/markup-compatibility/2006">
          <mc:Choice Requires="x14">
            <control shapeId="25608" r:id="rId12" name="Drop Down 8">
              <controlPr defaultSize="0" autoLine="0" autoPict="0">
                <anchor moveWithCells="1">
                  <from>
                    <xdr:col>12</xdr:col>
                    <xdr:colOff>47625</xdr:colOff>
                    <xdr:row>54</xdr:row>
                    <xdr:rowOff>9525</xdr:rowOff>
                  </from>
                  <to>
                    <xdr:col>12</xdr:col>
                    <xdr:colOff>2286000</xdr:colOff>
                    <xdr:row>54</xdr:row>
                    <xdr:rowOff>171450</xdr:rowOff>
                  </to>
                </anchor>
              </controlPr>
            </control>
          </mc:Choice>
        </mc:AlternateContent>
        <mc:AlternateContent xmlns:mc="http://schemas.openxmlformats.org/markup-compatibility/2006">
          <mc:Choice Requires="x14">
            <control shapeId="25609" r:id="rId13" name="Drop Down 9">
              <controlPr defaultSize="0" autoLine="0" autoPict="0">
                <anchor moveWithCells="1">
                  <from>
                    <xdr:col>13</xdr:col>
                    <xdr:colOff>47625</xdr:colOff>
                    <xdr:row>54</xdr:row>
                    <xdr:rowOff>9525</xdr:rowOff>
                  </from>
                  <to>
                    <xdr:col>13</xdr:col>
                    <xdr:colOff>2286000</xdr:colOff>
                    <xdr:row>54</xdr:row>
                    <xdr:rowOff>171450</xdr:rowOff>
                  </to>
                </anchor>
              </controlPr>
            </control>
          </mc:Choice>
        </mc:AlternateContent>
        <mc:AlternateContent xmlns:mc="http://schemas.openxmlformats.org/markup-compatibility/2006">
          <mc:Choice Requires="x14">
            <control shapeId="25610" r:id="rId14" name="Drop Down 10">
              <controlPr defaultSize="0" autoLine="0" autoPict="0">
                <anchor moveWithCells="1">
                  <from>
                    <xdr:col>14</xdr:col>
                    <xdr:colOff>47625</xdr:colOff>
                    <xdr:row>54</xdr:row>
                    <xdr:rowOff>9525</xdr:rowOff>
                  </from>
                  <to>
                    <xdr:col>14</xdr:col>
                    <xdr:colOff>2286000</xdr:colOff>
                    <xdr:row>54</xdr:row>
                    <xdr:rowOff>171450</xdr:rowOff>
                  </to>
                </anchor>
              </controlPr>
            </control>
          </mc:Choice>
        </mc:AlternateContent>
        <mc:AlternateContent xmlns:mc="http://schemas.openxmlformats.org/markup-compatibility/2006">
          <mc:Choice Requires="x14">
            <control shapeId="25611" r:id="rId15" name="Drop Down 11">
              <controlPr defaultSize="0" autoLine="0" autoPict="0">
                <anchor moveWithCells="1">
                  <from>
                    <xdr:col>15</xdr:col>
                    <xdr:colOff>47625</xdr:colOff>
                    <xdr:row>54</xdr:row>
                    <xdr:rowOff>9525</xdr:rowOff>
                  </from>
                  <to>
                    <xdr:col>15</xdr:col>
                    <xdr:colOff>2286000</xdr:colOff>
                    <xdr:row>54</xdr:row>
                    <xdr:rowOff>171450</xdr:rowOff>
                  </to>
                </anchor>
              </controlPr>
            </control>
          </mc:Choice>
        </mc:AlternateContent>
        <mc:AlternateContent xmlns:mc="http://schemas.openxmlformats.org/markup-compatibility/2006">
          <mc:Choice Requires="x14">
            <control shapeId="25612" r:id="rId16" name="Drop Down 12">
              <controlPr defaultSize="0" autoLine="0" autoPict="0">
                <anchor moveWithCells="1">
                  <from>
                    <xdr:col>13</xdr:col>
                    <xdr:colOff>47625</xdr:colOff>
                    <xdr:row>48</xdr:row>
                    <xdr:rowOff>19050</xdr:rowOff>
                  </from>
                  <to>
                    <xdr:col>13</xdr:col>
                    <xdr:colOff>2286000</xdr:colOff>
                    <xdr:row>49</xdr:row>
                    <xdr:rowOff>0</xdr:rowOff>
                  </to>
                </anchor>
              </controlPr>
            </control>
          </mc:Choice>
        </mc:AlternateContent>
        <mc:AlternateContent xmlns:mc="http://schemas.openxmlformats.org/markup-compatibility/2006">
          <mc:Choice Requires="x14">
            <control shapeId="25613" r:id="rId17" name="Drop Down 13">
              <controlPr defaultSize="0" autoLine="0" autoPict="0">
                <anchor moveWithCells="1">
                  <from>
                    <xdr:col>14</xdr:col>
                    <xdr:colOff>47625</xdr:colOff>
                    <xdr:row>48</xdr:row>
                    <xdr:rowOff>19050</xdr:rowOff>
                  </from>
                  <to>
                    <xdr:col>14</xdr:col>
                    <xdr:colOff>2286000</xdr:colOff>
                    <xdr:row>49</xdr:row>
                    <xdr:rowOff>0</xdr:rowOff>
                  </to>
                </anchor>
              </controlPr>
            </control>
          </mc:Choice>
        </mc:AlternateContent>
        <mc:AlternateContent xmlns:mc="http://schemas.openxmlformats.org/markup-compatibility/2006">
          <mc:Choice Requires="x14">
            <control shapeId="25614" r:id="rId18" name="Drop Down 14">
              <controlPr defaultSize="0" autoLine="0" autoPict="0">
                <anchor moveWithCells="1">
                  <from>
                    <xdr:col>15</xdr:col>
                    <xdr:colOff>47625</xdr:colOff>
                    <xdr:row>48</xdr:row>
                    <xdr:rowOff>19050</xdr:rowOff>
                  </from>
                  <to>
                    <xdr:col>15</xdr:col>
                    <xdr:colOff>2286000</xdr:colOff>
                    <xdr:row>49</xdr:row>
                    <xdr:rowOff>0</xdr:rowOff>
                  </to>
                </anchor>
              </controlPr>
            </control>
          </mc:Choice>
        </mc:AlternateContent>
        <mc:AlternateContent xmlns:mc="http://schemas.openxmlformats.org/markup-compatibility/2006">
          <mc:Choice Requires="x14">
            <control shapeId="25615" r:id="rId19" name="Drop Down 15">
              <controlPr defaultSize="0" autoLine="0" autoPict="0">
                <anchor moveWithCells="1">
                  <from>
                    <xdr:col>13</xdr:col>
                    <xdr:colOff>47625</xdr:colOff>
                    <xdr:row>49</xdr:row>
                    <xdr:rowOff>19050</xdr:rowOff>
                  </from>
                  <to>
                    <xdr:col>13</xdr:col>
                    <xdr:colOff>2286000</xdr:colOff>
                    <xdr:row>50</xdr:row>
                    <xdr:rowOff>0</xdr:rowOff>
                  </to>
                </anchor>
              </controlPr>
            </control>
          </mc:Choice>
        </mc:AlternateContent>
        <mc:AlternateContent xmlns:mc="http://schemas.openxmlformats.org/markup-compatibility/2006">
          <mc:Choice Requires="x14">
            <control shapeId="25616" r:id="rId20" name="Drop Down 16">
              <controlPr defaultSize="0" autoLine="0" autoPict="0">
                <anchor moveWithCells="1">
                  <from>
                    <xdr:col>14</xdr:col>
                    <xdr:colOff>47625</xdr:colOff>
                    <xdr:row>49</xdr:row>
                    <xdr:rowOff>19050</xdr:rowOff>
                  </from>
                  <to>
                    <xdr:col>14</xdr:col>
                    <xdr:colOff>2286000</xdr:colOff>
                    <xdr:row>50</xdr:row>
                    <xdr:rowOff>0</xdr:rowOff>
                  </to>
                </anchor>
              </controlPr>
            </control>
          </mc:Choice>
        </mc:AlternateContent>
        <mc:AlternateContent xmlns:mc="http://schemas.openxmlformats.org/markup-compatibility/2006">
          <mc:Choice Requires="x14">
            <control shapeId="25617" r:id="rId21" name="Drop Down 17">
              <controlPr defaultSize="0" autoLine="0" autoPict="0">
                <anchor moveWithCells="1">
                  <from>
                    <xdr:col>15</xdr:col>
                    <xdr:colOff>47625</xdr:colOff>
                    <xdr:row>49</xdr:row>
                    <xdr:rowOff>19050</xdr:rowOff>
                  </from>
                  <to>
                    <xdr:col>15</xdr:col>
                    <xdr:colOff>2286000</xdr:colOff>
                    <xdr:row>50</xdr:row>
                    <xdr:rowOff>0</xdr:rowOff>
                  </to>
                </anchor>
              </controlPr>
            </control>
          </mc:Choice>
        </mc:AlternateContent>
        <mc:AlternateContent xmlns:mc="http://schemas.openxmlformats.org/markup-compatibility/2006">
          <mc:Choice Requires="x14">
            <control shapeId="25618" r:id="rId22" name="Drop Down 18">
              <controlPr defaultSize="0" autoLine="0" autoPict="0">
                <anchor moveWithCells="1">
                  <from>
                    <xdr:col>12</xdr:col>
                    <xdr:colOff>38100</xdr:colOff>
                    <xdr:row>30</xdr:row>
                    <xdr:rowOff>38100</xdr:rowOff>
                  </from>
                  <to>
                    <xdr:col>12</xdr:col>
                    <xdr:colOff>2286000</xdr:colOff>
                    <xdr:row>31</xdr:row>
                    <xdr:rowOff>0</xdr:rowOff>
                  </to>
                </anchor>
              </controlPr>
            </control>
          </mc:Choice>
        </mc:AlternateContent>
        <mc:AlternateContent xmlns:mc="http://schemas.openxmlformats.org/markup-compatibility/2006">
          <mc:Choice Requires="x14">
            <control shapeId="25619" r:id="rId23" name="Drop Down 19">
              <controlPr defaultSize="0" autoLine="0" autoPict="0">
                <anchor moveWithCells="1">
                  <from>
                    <xdr:col>12</xdr:col>
                    <xdr:colOff>38100</xdr:colOff>
                    <xdr:row>28</xdr:row>
                    <xdr:rowOff>38100</xdr:rowOff>
                  </from>
                  <to>
                    <xdr:col>12</xdr:col>
                    <xdr:colOff>2286000</xdr:colOff>
                    <xdr:row>28</xdr:row>
                    <xdr:rowOff>200025</xdr:rowOff>
                  </to>
                </anchor>
              </controlPr>
            </control>
          </mc:Choice>
        </mc:AlternateContent>
        <mc:AlternateContent xmlns:mc="http://schemas.openxmlformats.org/markup-compatibility/2006">
          <mc:Choice Requires="x14">
            <control shapeId="25620" r:id="rId24" name="Drop Down 20">
              <controlPr defaultSize="0" autoLine="0" autoPict="0">
                <anchor moveWithCells="1">
                  <from>
                    <xdr:col>13</xdr:col>
                    <xdr:colOff>47625</xdr:colOff>
                    <xdr:row>28</xdr:row>
                    <xdr:rowOff>38100</xdr:rowOff>
                  </from>
                  <to>
                    <xdr:col>13</xdr:col>
                    <xdr:colOff>2286000</xdr:colOff>
                    <xdr:row>28</xdr:row>
                    <xdr:rowOff>200025</xdr:rowOff>
                  </to>
                </anchor>
              </controlPr>
            </control>
          </mc:Choice>
        </mc:AlternateContent>
        <mc:AlternateContent xmlns:mc="http://schemas.openxmlformats.org/markup-compatibility/2006">
          <mc:Choice Requires="x14">
            <control shapeId="25621" r:id="rId25" name="Drop Down 21">
              <controlPr defaultSize="0" autoLine="0" autoPict="0">
                <anchor moveWithCells="1">
                  <from>
                    <xdr:col>14</xdr:col>
                    <xdr:colOff>47625</xdr:colOff>
                    <xdr:row>28</xdr:row>
                    <xdr:rowOff>38100</xdr:rowOff>
                  </from>
                  <to>
                    <xdr:col>14</xdr:col>
                    <xdr:colOff>2286000</xdr:colOff>
                    <xdr:row>28</xdr:row>
                    <xdr:rowOff>200025</xdr:rowOff>
                  </to>
                </anchor>
              </controlPr>
            </control>
          </mc:Choice>
        </mc:AlternateContent>
        <mc:AlternateContent xmlns:mc="http://schemas.openxmlformats.org/markup-compatibility/2006">
          <mc:Choice Requires="x14">
            <control shapeId="25622" r:id="rId26" name="Check Box 22">
              <controlPr defaultSize="0" autoFill="0" autoLine="0" autoPict="0" altText="N in Wandmitt und -fuß automatisch berechnen">
                <anchor moveWithCells="1">
                  <from>
                    <xdr:col>12</xdr:col>
                    <xdr:colOff>57150</xdr:colOff>
                    <xdr:row>69</xdr:row>
                    <xdr:rowOff>0</xdr:rowOff>
                  </from>
                  <to>
                    <xdr:col>13</xdr:col>
                    <xdr:colOff>1438275</xdr:colOff>
                    <xdr:row>70</xdr:row>
                    <xdr:rowOff>9525</xdr:rowOff>
                  </to>
                </anchor>
              </controlPr>
            </control>
          </mc:Choice>
        </mc:AlternateContent>
        <mc:AlternateContent xmlns:mc="http://schemas.openxmlformats.org/markup-compatibility/2006">
          <mc:Choice Requires="x14">
            <control shapeId="25623" r:id="rId27" name="Drop Down 23">
              <controlPr defaultSize="0" autoLine="0" autoPict="0">
                <anchor moveWithCells="1">
                  <from>
                    <xdr:col>13</xdr:col>
                    <xdr:colOff>47625</xdr:colOff>
                    <xdr:row>40</xdr:row>
                    <xdr:rowOff>19050</xdr:rowOff>
                  </from>
                  <to>
                    <xdr:col>13</xdr:col>
                    <xdr:colOff>2286000</xdr:colOff>
                    <xdr:row>41</xdr:row>
                    <xdr:rowOff>0</xdr:rowOff>
                  </to>
                </anchor>
              </controlPr>
            </control>
          </mc:Choice>
        </mc:AlternateContent>
        <mc:AlternateContent xmlns:mc="http://schemas.openxmlformats.org/markup-compatibility/2006">
          <mc:Choice Requires="x14">
            <control shapeId="25624" r:id="rId28" name="Check Box 24">
              <controlPr defaultSize="0" autoFill="0" autoLine="0" autoPict="0">
                <anchor moveWithCells="1">
                  <from>
                    <xdr:col>10</xdr:col>
                    <xdr:colOff>2847975</xdr:colOff>
                    <xdr:row>40</xdr:row>
                    <xdr:rowOff>171450</xdr:rowOff>
                  </from>
                  <to>
                    <xdr:col>11</xdr:col>
                    <xdr:colOff>0</xdr:colOff>
                    <xdr:row>41</xdr:row>
                    <xdr:rowOff>190500</xdr:rowOff>
                  </to>
                </anchor>
              </controlPr>
            </control>
          </mc:Choice>
        </mc:AlternateContent>
        <mc:AlternateContent xmlns:mc="http://schemas.openxmlformats.org/markup-compatibility/2006">
          <mc:Choice Requires="x14">
            <control shapeId="25625" r:id="rId29" name="Check Box 25">
              <controlPr defaultSize="0" autoFill="0" autoLine="0" autoPict="0">
                <anchor moveWithCells="1">
                  <from>
                    <xdr:col>10</xdr:col>
                    <xdr:colOff>2847975</xdr:colOff>
                    <xdr:row>42</xdr:row>
                    <xdr:rowOff>0</xdr:rowOff>
                  </from>
                  <to>
                    <xdr:col>11</xdr:col>
                    <xdr:colOff>0</xdr:colOff>
                    <xdr:row>43</xdr:row>
                    <xdr:rowOff>0</xdr:rowOff>
                  </to>
                </anchor>
              </controlPr>
            </control>
          </mc:Choice>
        </mc:AlternateContent>
        <mc:AlternateContent xmlns:mc="http://schemas.openxmlformats.org/markup-compatibility/2006">
          <mc:Choice Requires="x14">
            <control shapeId="25626" r:id="rId30" name="Check Box 26">
              <controlPr defaultSize="0" autoFill="0" autoLine="0" autoPict="0">
                <anchor moveWithCells="1">
                  <from>
                    <xdr:col>10</xdr:col>
                    <xdr:colOff>2847975</xdr:colOff>
                    <xdr:row>40</xdr:row>
                    <xdr:rowOff>171450</xdr:rowOff>
                  </from>
                  <to>
                    <xdr:col>11</xdr:col>
                    <xdr:colOff>0</xdr:colOff>
                    <xdr:row>41</xdr:row>
                    <xdr:rowOff>200025</xdr:rowOff>
                  </to>
                </anchor>
              </controlPr>
            </control>
          </mc:Choice>
        </mc:AlternateContent>
        <mc:AlternateContent xmlns:mc="http://schemas.openxmlformats.org/markup-compatibility/2006">
          <mc:Choice Requires="x14">
            <control shapeId="25627" r:id="rId31" name="Check Box 27">
              <controlPr defaultSize="0" autoFill="0" autoLine="0" autoPict="0">
                <anchor moveWithCells="1">
                  <from>
                    <xdr:col>11</xdr:col>
                    <xdr:colOff>38100</xdr:colOff>
                    <xdr:row>128</xdr:row>
                    <xdr:rowOff>0</xdr:rowOff>
                  </from>
                  <to>
                    <xdr:col>11</xdr:col>
                    <xdr:colOff>219075</xdr:colOff>
                    <xdr:row>129</xdr:row>
                    <xdr:rowOff>0</xdr:rowOff>
                  </to>
                </anchor>
              </controlPr>
            </control>
          </mc:Choice>
        </mc:AlternateContent>
        <mc:AlternateContent xmlns:mc="http://schemas.openxmlformats.org/markup-compatibility/2006">
          <mc:Choice Requires="x14">
            <control shapeId="25628" r:id="rId32" name="Drop Down 28">
              <controlPr defaultSize="0" autoLine="0" autoPict="0">
                <anchor moveWithCells="1">
                  <from>
                    <xdr:col>13</xdr:col>
                    <xdr:colOff>47625</xdr:colOff>
                    <xdr:row>36</xdr:row>
                    <xdr:rowOff>19050</xdr:rowOff>
                  </from>
                  <to>
                    <xdr:col>13</xdr:col>
                    <xdr:colOff>2286000</xdr:colOff>
                    <xdr:row>37</xdr:row>
                    <xdr:rowOff>0</xdr:rowOff>
                  </to>
                </anchor>
              </controlPr>
            </control>
          </mc:Choice>
        </mc:AlternateContent>
        <mc:AlternateContent xmlns:mc="http://schemas.openxmlformats.org/markup-compatibility/2006">
          <mc:Choice Requires="x14">
            <control shapeId="25629" r:id="rId33" name="Drop Down 29">
              <controlPr defaultSize="0" autoLine="0" autoPict="0">
                <anchor moveWithCells="1">
                  <from>
                    <xdr:col>13</xdr:col>
                    <xdr:colOff>47625</xdr:colOff>
                    <xdr:row>31</xdr:row>
                    <xdr:rowOff>19050</xdr:rowOff>
                  </from>
                  <to>
                    <xdr:col>13</xdr:col>
                    <xdr:colOff>2286000</xdr:colOff>
                    <xdr:row>32</xdr:row>
                    <xdr:rowOff>0</xdr:rowOff>
                  </to>
                </anchor>
              </controlPr>
            </control>
          </mc:Choice>
        </mc:AlternateContent>
        <mc:AlternateContent xmlns:mc="http://schemas.openxmlformats.org/markup-compatibility/2006">
          <mc:Choice Requires="x14">
            <control shapeId="25630" r:id="rId34" name="Drop Down 30">
              <controlPr defaultSize="0" autoLine="0" autoPict="0">
                <anchor moveWithCells="1">
                  <from>
                    <xdr:col>14</xdr:col>
                    <xdr:colOff>66675</xdr:colOff>
                    <xdr:row>71</xdr:row>
                    <xdr:rowOff>9525</xdr:rowOff>
                  </from>
                  <to>
                    <xdr:col>14</xdr:col>
                    <xdr:colOff>2305050</xdr:colOff>
                    <xdr:row>71</xdr:row>
                    <xdr:rowOff>171450</xdr:rowOff>
                  </to>
                </anchor>
              </controlPr>
            </control>
          </mc:Choice>
        </mc:AlternateContent>
        <mc:AlternateContent xmlns:mc="http://schemas.openxmlformats.org/markup-compatibility/2006">
          <mc:Choice Requires="x14">
            <control shapeId="25631" r:id="rId35" name="Drop Down 31">
              <controlPr defaultSize="0" autoLine="0" autoPict="0">
                <anchor moveWithCells="1">
                  <from>
                    <xdr:col>15</xdr:col>
                    <xdr:colOff>47625</xdr:colOff>
                    <xdr:row>69</xdr:row>
                    <xdr:rowOff>9525</xdr:rowOff>
                  </from>
                  <to>
                    <xdr:col>15</xdr:col>
                    <xdr:colOff>2286000</xdr:colOff>
                    <xdr:row>69</xdr:row>
                    <xdr:rowOff>171450</xdr:rowOff>
                  </to>
                </anchor>
              </controlPr>
            </control>
          </mc:Choice>
        </mc:AlternateContent>
        <mc:AlternateContent xmlns:mc="http://schemas.openxmlformats.org/markup-compatibility/2006">
          <mc:Choice Requires="x14">
            <control shapeId="25632" r:id="rId36" name="Drop Down 32">
              <controlPr defaultSize="0" autoLine="0" autoPict="0">
                <anchor moveWithCells="1">
                  <from>
                    <xdr:col>12</xdr:col>
                    <xdr:colOff>38100</xdr:colOff>
                    <xdr:row>39</xdr:row>
                    <xdr:rowOff>19050</xdr:rowOff>
                  </from>
                  <to>
                    <xdr:col>12</xdr:col>
                    <xdr:colOff>2286000</xdr:colOff>
                    <xdr:row>40</xdr:row>
                    <xdr:rowOff>0</xdr:rowOff>
                  </to>
                </anchor>
              </controlPr>
            </control>
          </mc:Choice>
        </mc:AlternateContent>
        <mc:AlternateContent xmlns:mc="http://schemas.openxmlformats.org/markup-compatibility/2006">
          <mc:Choice Requires="x14">
            <control shapeId="25633" r:id="rId37" name="Drop Down 33">
              <controlPr defaultSize="0" autoLine="0" autoPict="0">
                <anchor moveWithCells="1">
                  <from>
                    <xdr:col>13</xdr:col>
                    <xdr:colOff>47625</xdr:colOff>
                    <xdr:row>39</xdr:row>
                    <xdr:rowOff>19050</xdr:rowOff>
                  </from>
                  <to>
                    <xdr:col>13</xdr:col>
                    <xdr:colOff>2286000</xdr:colOff>
                    <xdr:row>40</xdr:row>
                    <xdr:rowOff>0</xdr:rowOff>
                  </to>
                </anchor>
              </controlPr>
            </control>
          </mc:Choice>
        </mc:AlternateContent>
        <mc:AlternateContent xmlns:mc="http://schemas.openxmlformats.org/markup-compatibility/2006">
          <mc:Choice Requires="x14">
            <control shapeId="25634" r:id="rId38" name="Drop Down 34">
              <controlPr defaultSize="0" autoLine="0" autoPict="0">
                <anchor moveWithCells="1">
                  <from>
                    <xdr:col>13</xdr:col>
                    <xdr:colOff>47625</xdr:colOff>
                    <xdr:row>37</xdr:row>
                    <xdr:rowOff>19050</xdr:rowOff>
                  </from>
                  <to>
                    <xdr:col>13</xdr:col>
                    <xdr:colOff>2286000</xdr:colOff>
                    <xdr:row>38</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A1:AN279"/>
  <sheetViews>
    <sheetView showGridLines="0" showRowColHeaders="0" showRuler="0" topLeftCell="K18" zoomScaleNormal="100" zoomScalePageLayoutView="55" workbookViewId="0">
      <selection activeCell="L22" sqref="L22:P22"/>
    </sheetView>
  </sheetViews>
  <sheetFormatPr baseColWidth="10" defaultColWidth="0" defaultRowHeight="14.25" customHeight="1" zeroHeight="1" x14ac:dyDescent="0.2"/>
  <cols>
    <col min="1" max="2" width="1.5" style="116" hidden="1" customWidth="1"/>
    <col min="3" max="3" width="2.875" style="116" hidden="1" customWidth="1"/>
    <col min="4" max="4" width="1.5" style="116" hidden="1" customWidth="1"/>
    <col min="5" max="8" width="10.875" style="116" hidden="1" customWidth="1"/>
    <col min="9" max="10" width="1.625" style="116" hidden="1" customWidth="1"/>
    <col min="11" max="11" width="40.5" style="116" customWidth="1"/>
    <col min="12" max="12" width="9.625" style="116" customWidth="1"/>
    <col min="13" max="16" width="30.5" style="116" customWidth="1"/>
    <col min="17" max="17" width="1.375" style="116" customWidth="1"/>
    <col min="18" max="18" width="1.375" style="400" hidden="1" customWidth="1"/>
    <col min="19" max="19" width="11" style="117" hidden="1" customWidth="1"/>
    <col min="20" max="35" width="11" style="118" hidden="1" customWidth="1"/>
    <col min="36" max="16384" width="11" style="117" hidden="1"/>
  </cols>
  <sheetData>
    <row r="1" spans="11:16" hidden="1" x14ac:dyDescent="0.2">
      <c r="K1" s="116" t="s">
        <v>89</v>
      </c>
      <c r="M1" s="63">
        <v>7</v>
      </c>
      <c r="N1" s="63">
        <v>6</v>
      </c>
      <c r="O1" s="63">
        <v>6</v>
      </c>
    </row>
    <row r="2" spans="11:16" hidden="1" x14ac:dyDescent="0.2">
      <c r="K2" s="116" t="s">
        <v>204</v>
      </c>
      <c r="M2" s="119">
        <f ca="1">OFFSET(rL2.MainGroupsHead01,rF1.MainGroupSelection,1,1,1)</f>
        <v>0</v>
      </c>
      <c r="N2" s="119" t="str">
        <f ca="1">OFFSET(rL2.MainGroupsHead02,rF1.MainGroupSelection,1,1,1)</f>
        <v>rD1.Knoten06</v>
      </c>
      <c r="O2" s="119" t="str">
        <f ca="1">OFFSET(rL2.MainGroupsHead03,rF1.MainGroupSelection,1,1,1)</f>
        <v>rD1.Knoten06</v>
      </c>
    </row>
    <row r="3" spans="11:16" hidden="1" x14ac:dyDescent="0.2">
      <c r="K3" s="116" t="s">
        <v>36</v>
      </c>
      <c r="M3" s="63">
        <v>6</v>
      </c>
      <c r="N3" s="63">
        <v>10</v>
      </c>
      <c r="O3" s="63">
        <v>1</v>
      </c>
    </row>
    <row r="4" spans="11:16" hidden="1" x14ac:dyDescent="0.2">
      <c r="K4" s="116" t="s">
        <v>83</v>
      </c>
      <c r="M4" s="63">
        <v>3</v>
      </c>
      <c r="N4" s="63">
        <v>0</v>
      </c>
      <c r="O4" s="63">
        <v>0</v>
      </c>
    </row>
    <row r="5" spans="11:16" hidden="1" x14ac:dyDescent="0.2">
      <c r="K5" s="116" t="s">
        <v>37</v>
      </c>
      <c r="M5" s="63">
        <v>1</v>
      </c>
      <c r="N5" s="63">
        <v>1</v>
      </c>
      <c r="O5" s="63">
        <v>1</v>
      </c>
    </row>
    <row r="6" spans="11:16" hidden="1" x14ac:dyDescent="0.2">
      <c r="K6" s="116" t="s">
        <v>502</v>
      </c>
      <c r="M6" s="63"/>
      <c r="N6" s="63">
        <v>2</v>
      </c>
      <c r="O6" s="63">
        <v>2</v>
      </c>
    </row>
    <row r="7" spans="11:16" hidden="1" x14ac:dyDescent="0.2">
      <c r="K7" s="116" t="s">
        <v>503</v>
      </c>
      <c r="M7" s="63">
        <v>2</v>
      </c>
      <c r="N7" s="63">
        <v>2</v>
      </c>
      <c r="O7" s="63"/>
    </row>
    <row r="8" spans="11:16" hidden="1" x14ac:dyDescent="0.2">
      <c r="K8" s="116" t="s">
        <v>146</v>
      </c>
      <c r="M8" s="63">
        <v>1</v>
      </c>
      <c r="N8" s="63">
        <v>0</v>
      </c>
      <c r="O8" s="63">
        <v>1</v>
      </c>
    </row>
    <row r="9" spans="11:16" hidden="1" x14ac:dyDescent="0.2">
      <c r="K9" s="116" t="s">
        <v>147</v>
      </c>
      <c r="M9" s="63">
        <v>1</v>
      </c>
      <c r="N9" s="63">
        <v>1</v>
      </c>
      <c r="O9" s="63">
        <v>3</v>
      </c>
    </row>
    <row r="10" spans="11:16" hidden="1" x14ac:dyDescent="0.2">
      <c r="K10" s="116" t="s">
        <v>38</v>
      </c>
      <c r="M10" s="63">
        <v>2</v>
      </c>
      <c r="N10" s="63">
        <v>2</v>
      </c>
      <c r="O10" s="63">
        <v>5</v>
      </c>
      <c r="P10" s="63">
        <v>3</v>
      </c>
    </row>
    <row r="11" spans="11:16" hidden="1" x14ac:dyDescent="0.2">
      <c r="K11" s="116" t="s">
        <v>39</v>
      </c>
      <c r="M11" s="63">
        <v>1</v>
      </c>
      <c r="N11" s="63">
        <v>1</v>
      </c>
      <c r="O11" s="63">
        <v>1</v>
      </c>
      <c r="P11" s="63">
        <v>1</v>
      </c>
    </row>
    <row r="12" spans="11:16" hidden="1" x14ac:dyDescent="0.2">
      <c r="K12" s="116" t="s">
        <v>40</v>
      </c>
      <c r="M12" s="63">
        <v>3</v>
      </c>
      <c r="N12" s="63">
        <v>3</v>
      </c>
      <c r="O12" s="63">
        <v>1</v>
      </c>
      <c r="P12" s="63">
        <v>3</v>
      </c>
    </row>
    <row r="13" spans="11:16" hidden="1" x14ac:dyDescent="0.2">
      <c r="K13" s="116" t="s">
        <v>379</v>
      </c>
      <c r="N13" s="63">
        <v>1</v>
      </c>
    </row>
    <row r="14" spans="11:16" hidden="1" x14ac:dyDescent="0.2">
      <c r="K14" s="116" t="s">
        <v>516</v>
      </c>
      <c r="N14" s="63">
        <v>2</v>
      </c>
    </row>
    <row r="15" spans="11:16" hidden="1" x14ac:dyDescent="0.2">
      <c r="K15" s="116" t="s">
        <v>389</v>
      </c>
      <c r="N15" s="63">
        <v>1</v>
      </c>
    </row>
    <row r="16" spans="11:16" hidden="1" x14ac:dyDescent="0.2">
      <c r="K16" s="116" t="s">
        <v>482</v>
      </c>
      <c r="O16" s="63">
        <v>1</v>
      </c>
    </row>
    <row r="17" spans="5:37" hidden="1" x14ac:dyDescent="0.2">
      <c r="K17" s="116" t="s">
        <v>501</v>
      </c>
      <c r="P17" s="63">
        <v>1</v>
      </c>
    </row>
    <row r="18" spans="5:37" ht="19.5" x14ac:dyDescent="0.2">
      <c r="K18" s="120"/>
      <c r="L18" s="120"/>
      <c r="M18" s="120"/>
      <c r="N18" s="489"/>
      <c r="O18" s="489"/>
      <c r="P18" s="412"/>
      <c r="Q18" s="121"/>
    </row>
    <row r="19" spans="5:37" x14ac:dyDescent="0.2">
      <c r="K19" s="493" t="s">
        <v>468</v>
      </c>
      <c r="L19" s="493"/>
      <c r="M19" s="494"/>
      <c r="N19" s="492" t="s">
        <v>367</v>
      </c>
      <c r="O19" s="492"/>
      <c r="P19" s="122"/>
      <c r="Q19" s="123"/>
      <c r="R19" s="408"/>
    </row>
    <row r="20" spans="5:37" ht="59.25" customHeight="1" x14ac:dyDescent="0.2">
      <c r="K20" s="493"/>
      <c r="L20" s="493"/>
      <c r="M20" s="494"/>
      <c r="N20" s="492"/>
      <c r="O20" s="492"/>
      <c r="P20" s="124" t="s">
        <v>364</v>
      </c>
      <c r="Q20" s="125"/>
    </row>
    <row r="21" spans="5:37" ht="14.25" customHeight="1" thickBot="1" x14ac:dyDescent="0.25">
      <c r="K21" s="126"/>
      <c r="L21" s="126"/>
      <c r="M21" s="126"/>
      <c r="N21" s="126"/>
      <c r="O21" s="127"/>
      <c r="P21" s="128"/>
      <c r="Q21" s="129"/>
    </row>
    <row r="22" spans="5:37" ht="20.25" customHeight="1" thickTop="1" thickBot="1" x14ac:dyDescent="0.25">
      <c r="K22" s="130" t="s">
        <v>205</v>
      </c>
      <c r="L22" s="490" t="s">
        <v>623</v>
      </c>
      <c r="M22" s="490"/>
      <c r="N22" s="490"/>
      <c r="O22" s="490"/>
      <c r="P22" s="490"/>
      <c r="Q22" s="131"/>
    </row>
    <row r="23" spans="5:37" ht="16.5" thickTop="1" thickBot="1" x14ac:dyDescent="0.25">
      <c r="K23" s="132" t="s">
        <v>206</v>
      </c>
      <c r="L23" s="490"/>
      <c r="M23" s="490"/>
      <c r="N23" s="490"/>
      <c r="O23" s="490"/>
      <c r="P23" s="490"/>
      <c r="Q23" s="133"/>
      <c r="V23" s="134" t="s">
        <v>329</v>
      </c>
      <c r="X23" s="134" t="s">
        <v>484</v>
      </c>
    </row>
    <row r="24" spans="5:37" ht="16.5" thickTop="1" thickBot="1" x14ac:dyDescent="0.25">
      <c r="K24" s="132" t="s">
        <v>207</v>
      </c>
      <c r="L24" s="491"/>
      <c r="M24" s="490"/>
      <c r="N24" s="490"/>
      <c r="O24" s="490"/>
      <c r="P24" s="490"/>
      <c r="Q24" s="133"/>
      <c r="U24" s="134" t="s">
        <v>136</v>
      </c>
      <c r="V24" s="135">
        <v>1.5</v>
      </c>
      <c r="X24" s="136">
        <f ca="1">IF(rF1.CheckBasePlate=1,0,IF(rF1.CheckFoundation=1,rF1.PlotFoundationHeight,INDEX(rF1.WallHeight,1,1)))</f>
        <v>2.5</v>
      </c>
    </row>
    <row r="25" spans="5:37" ht="16.5" thickTop="1" thickBot="1" x14ac:dyDescent="0.25">
      <c r="K25" s="132" t="s">
        <v>208</v>
      </c>
      <c r="L25" s="490"/>
      <c r="M25" s="490"/>
      <c r="N25" s="490"/>
      <c r="O25" s="490"/>
      <c r="P25" s="490"/>
      <c r="Q25" s="133"/>
      <c r="U25" s="134" t="s">
        <v>2</v>
      </c>
      <c r="V25" s="135">
        <v>1</v>
      </c>
    </row>
    <row r="26" spans="5:37" ht="15" thickTop="1" x14ac:dyDescent="0.2">
      <c r="K26" s="137" t="s">
        <v>209</v>
      </c>
      <c r="L26" s="138"/>
      <c r="M26" s="138"/>
      <c r="N26" s="138"/>
      <c r="O26" s="138"/>
      <c r="P26" s="138"/>
      <c r="Q26" s="138"/>
    </row>
    <row r="27" spans="5:37" x14ac:dyDescent="0.2">
      <c r="E27" s="139"/>
      <c r="F27" s="139"/>
      <c r="G27" s="139"/>
      <c r="K27" s="140" t="s">
        <v>210</v>
      </c>
      <c r="L27" s="140"/>
      <c r="M27" s="140"/>
      <c r="N27" s="140"/>
      <c r="O27" s="140"/>
      <c r="P27" s="140"/>
      <c r="Q27" s="141"/>
    </row>
    <row r="28" spans="5:37" ht="15" thickBot="1" x14ac:dyDescent="0.25">
      <c r="E28" s="139"/>
      <c r="F28" s="139"/>
      <c r="G28" s="139"/>
      <c r="K28" s="142" t="s">
        <v>211</v>
      </c>
      <c r="L28" s="142"/>
      <c r="M28" s="143" t="s">
        <v>485</v>
      </c>
      <c r="N28" s="144" t="s">
        <v>212</v>
      </c>
      <c r="O28" s="143" t="s">
        <v>486</v>
      </c>
      <c r="P28" s="142"/>
      <c r="Q28" s="142"/>
      <c r="R28" s="401"/>
    </row>
    <row r="29" spans="5:37" ht="17.25" thickTop="1" thickBot="1" x14ac:dyDescent="0.25">
      <c r="E29" s="145">
        <f>IF(rF1.MainGroupSelection01=7,1,0)</f>
        <v>1</v>
      </c>
      <c r="G29" s="145">
        <f>IF(rF1.MainGroupSelection03=7,1,0)</f>
        <v>0</v>
      </c>
      <c r="K29" s="146" t="s">
        <v>213</v>
      </c>
      <c r="L29" s="146"/>
      <c r="M29" s="129"/>
      <c r="N29" s="147"/>
      <c r="O29" s="129"/>
      <c r="P29" s="148" t="s">
        <v>254</v>
      </c>
      <c r="Q29" s="131"/>
      <c r="S29" s="149" t="s">
        <v>328</v>
      </c>
      <c r="T29" s="150"/>
      <c r="U29" s="151"/>
      <c r="V29" s="151"/>
      <c r="W29" s="151"/>
      <c r="X29" s="151"/>
      <c r="Y29" s="151"/>
      <c r="Z29" s="151"/>
      <c r="AA29" s="152"/>
      <c r="AB29" s="149" t="s">
        <v>327</v>
      </c>
      <c r="AC29" s="151"/>
      <c r="AD29" s="150"/>
      <c r="AE29" s="151"/>
      <c r="AF29" s="151"/>
      <c r="AG29" s="151"/>
      <c r="AH29" s="151"/>
      <c r="AI29" s="151"/>
      <c r="AJ29" s="152"/>
      <c r="AK29" s="118"/>
    </row>
    <row r="30" spans="5:37" ht="15.75" thickTop="1" thickBot="1" x14ac:dyDescent="0.25">
      <c r="E30" s="145">
        <f>IF(rF1.MainGroupSelection01=8,1,0)</f>
        <v>0</v>
      </c>
      <c r="K30" s="146" t="s">
        <v>214</v>
      </c>
      <c r="L30" s="146"/>
      <c r="M30" s="153"/>
      <c r="N30" s="154"/>
      <c r="O30" s="153"/>
      <c r="P30" s="131"/>
      <c r="Q30" s="131"/>
      <c r="S30" s="155"/>
      <c r="T30" s="156" t="s">
        <v>116</v>
      </c>
      <c r="U30" s="157"/>
      <c r="V30" s="158">
        <v>0</v>
      </c>
      <c r="W30" s="159">
        <v>1</v>
      </c>
      <c r="X30" s="159">
        <v>2</v>
      </c>
      <c r="Y30" s="159">
        <v>3</v>
      </c>
      <c r="Z30" s="159">
        <v>4</v>
      </c>
      <c r="AA30" s="160">
        <v>5</v>
      </c>
      <c r="AB30" s="161"/>
      <c r="AC30" s="156" t="s">
        <v>116</v>
      </c>
      <c r="AD30" s="157"/>
      <c r="AE30" s="158">
        <v>0</v>
      </c>
      <c r="AF30" s="159">
        <v>1</v>
      </c>
      <c r="AG30" s="159">
        <v>2</v>
      </c>
      <c r="AH30" s="159">
        <v>3</v>
      </c>
      <c r="AI30" s="159">
        <v>4</v>
      </c>
      <c r="AJ30" s="160">
        <v>5</v>
      </c>
      <c r="AK30" s="118"/>
    </row>
    <row r="31" spans="5:37" ht="15.75" thickTop="1" thickBot="1" x14ac:dyDescent="0.25">
      <c r="K31" s="146" t="s">
        <v>462</v>
      </c>
      <c r="L31" s="146"/>
      <c r="M31" s="153"/>
      <c r="N31" s="154"/>
      <c r="O31" s="153"/>
      <c r="P31" s="131"/>
      <c r="Q31" s="131"/>
      <c r="S31" s="155" t="str">
        <f ca="1">IF(OR(rF1.CheckFoundation,rF1.CheckBasePlate),"","W1")</f>
        <v>W1</v>
      </c>
      <c r="T31" s="158" t="str">
        <f ca="1">IF(OR(rF1.CheckFoundation,rF1.CheckBasePlate),"",rP2.OutputWall01)</f>
        <v>Wand 1</v>
      </c>
      <c r="U31" s="162" t="s">
        <v>93</v>
      </c>
      <c r="V31" s="163">
        <f ca="1">IF(rF1.CheckBasePlate=1,0,IF(rF1.CheckFoundation=1,rF1.PlotFoundationWidth/2,INDEX(rF1.WallThickness,1,1)/2))</f>
        <v>0.125</v>
      </c>
      <c r="W31" s="163">
        <f ca="1">IF(rF1.CheckBasePlate=1,0,IF(rF1.CheckFoundation=1,rF1.PlotFoundationWidth/2,INDEX(rF1.WallThickness,1,1)/2))</f>
        <v>0.125</v>
      </c>
      <c r="X31" s="163">
        <f ca="1">IF(rF1.CheckBasePlate=1,0,IF(rF1.CheckFoundation=1,-rF1.PlotFoundationWidth/2,-INDEX(rF1.WallThickness,1,1)/2))</f>
        <v>-0.125</v>
      </c>
      <c r="Y31" s="163">
        <f ca="1">IF(rF1.CheckBasePlate=1,0,IF(rF1.CheckFoundation=1,-rF1.PlotFoundationWidth/2,-INDEX(rF1.WallThickness,1,1)/2))</f>
        <v>-0.125</v>
      </c>
      <c r="Z31" s="163">
        <f ca="1">IF(rF1.CheckBasePlate=1,0,IF(rF1.CheckFoundation=1,rF1.PlotFoundationWidth/2,INDEX(rF1.WallThickness,1,1)/2))</f>
        <v>0.125</v>
      </c>
      <c r="AA31" s="164">
        <f ca="1">IF(rF1.CheckBasePlate=1,0,IF(rF1.CheckFoundation=1,rF1.PlotFoundationWidth/2,INDEX(rF1.WallThickness,1,1)/2))</f>
        <v>0.125</v>
      </c>
      <c r="AB31" s="165"/>
      <c r="AC31" s="158" t="str">
        <f>rP2.OutputWall01</f>
        <v>Wand 1</v>
      </c>
      <c r="AD31" s="162" t="s">
        <v>93</v>
      </c>
      <c r="AE31" s="163">
        <f>INDEX(rF1.WallLenght,1,1)/2</f>
        <v>1.6</v>
      </c>
      <c r="AF31" s="163">
        <f>INDEX(rF1.WallLenght,1,1)/2</f>
        <v>1.6</v>
      </c>
      <c r="AG31" s="163">
        <f>-INDEX(rF1.WallLenght,1,1)/2</f>
        <v>-1.6</v>
      </c>
      <c r="AH31" s="163">
        <f>-INDEX(rF1.WallLenght,1,1)/2</f>
        <v>-1.6</v>
      </c>
      <c r="AI31" s="163">
        <f>INDEX(rF1.WallLenght,1,1)/2</f>
        <v>1.6</v>
      </c>
      <c r="AJ31" s="164">
        <f>INDEX(rF1.WallLenght,1,1)/2</f>
        <v>1.6</v>
      </c>
      <c r="AK31" s="118"/>
    </row>
    <row r="32" spans="5:37" ht="15.75" thickTop="1" thickBot="1" x14ac:dyDescent="0.25">
      <c r="K32" s="146" t="s">
        <v>481</v>
      </c>
      <c r="L32" s="146"/>
      <c r="M32" s="153"/>
      <c r="N32" s="154"/>
      <c r="O32" s="153"/>
      <c r="P32" s="131"/>
      <c r="Q32" s="131"/>
      <c r="S32" s="155"/>
      <c r="T32" s="166"/>
      <c r="U32" s="167" t="s">
        <v>94</v>
      </c>
      <c r="V32" s="168">
        <v>0</v>
      </c>
      <c r="W32" s="168">
        <f ca="1">IF(rF1.CheckBasePlate=1,0,rF1.PlotHeightFirstFloor)</f>
        <v>2.5</v>
      </c>
      <c r="X32" s="168">
        <f ca="1">IF(rF1.CheckBasePlate=1,0,rF1.PlotHeightFirstFloor)</f>
        <v>2.5</v>
      </c>
      <c r="Y32" s="168">
        <v>0</v>
      </c>
      <c r="Z32" s="168">
        <v>0</v>
      </c>
      <c r="AA32" s="169">
        <f ca="1">IF(rF1.CheckBasePlate=1,0,IF(rF1.CheckFoundation=1,rF1.PlotFoundationHeight/2,INDEX(rF1.WallHeight,1,1)/2))</f>
        <v>1.25</v>
      </c>
      <c r="AB32" s="165"/>
      <c r="AC32" s="166"/>
      <c r="AD32" s="167" t="s">
        <v>94</v>
      </c>
      <c r="AE32" s="168">
        <v>0</v>
      </c>
      <c r="AF32" s="168">
        <f ca="1">IF(rF1.CheckBasePlate=1,0,rF1.PlotHeightFirstFloor)</f>
        <v>2.5</v>
      </c>
      <c r="AG32" s="168">
        <f ca="1">IF(rF1.CheckBasePlate=1,0,rF1.PlotHeightFirstFloor)</f>
        <v>2.5</v>
      </c>
      <c r="AH32" s="168">
        <v>0</v>
      </c>
      <c r="AI32" s="168">
        <v>0</v>
      </c>
      <c r="AJ32" s="169">
        <f ca="1">IF(rF1.CheckBasePlate=1,0,IF(rF1.CheckFoundation=1,rF1.PlotFoundationHeight/2,INDEX(rF1.WallHeight,1,1)/2))</f>
        <v>1.25</v>
      </c>
      <c r="AK32" s="118"/>
    </row>
    <row r="33" spans="5:37" ht="17.25" thickTop="1" thickBot="1" x14ac:dyDescent="0.25">
      <c r="K33" s="170" t="s">
        <v>215</v>
      </c>
      <c r="L33" s="146" t="s">
        <v>43</v>
      </c>
      <c r="M33" s="171" t="str">
        <f ca="1">IF(rF1.CheckFoundation=1,"-",rF1.MasonryStrenghtChar01)</f>
        <v>-</v>
      </c>
      <c r="N33" s="172">
        <f ca="1">rF1.MasonryStrenghtChar02</f>
        <v>5.2</v>
      </c>
      <c r="O33" s="171">
        <f ca="1">IF(rF1.CheckWallNotExisting=1,"-",rF1.MasonryStrenghtChar03)</f>
        <v>4.7</v>
      </c>
      <c r="P33" s="131"/>
      <c r="Q33" s="131"/>
      <c r="S33" s="155" t="s">
        <v>470</v>
      </c>
      <c r="T33" s="158" t="str">
        <f>rP2.OutputWall02</f>
        <v>Wand 2</v>
      </c>
      <c r="U33" s="162" t="s">
        <v>93</v>
      </c>
      <c r="V33" s="163">
        <f ca="1">rF1.WallThickness02/2</f>
        <v>0.21249999999999999</v>
      </c>
      <c r="W33" s="163">
        <f ca="1">rF1.WallThickness02/2</f>
        <v>0.21249999999999999</v>
      </c>
      <c r="X33" s="163">
        <f ca="1">-rF1.WallThickness02/2</f>
        <v>-0.21249999999999999</v>
      </c>
      <c r="Y33" s="163">
        <f ca="1">-rF1.WallThickness02/2</f>
        <v>-0.21249999999999999</v>
      </c>
      <c r="Z33" s="163">
        <f ca="1">rF1.WallThickness02/2</f>
        <v>0.21249999999999999</v>
      </c>
      <c r="AA33" s="164">
        <f ca="1">rF1.WallThickness02/2</f>
        <v>0.21249999999999999</v>
      </c>
      <c r="AB33" s="165"/>
      <c r="AC33" s="158" t="str">
        <f>rP2.OutputWall02</f>
        <v>Wand 2</v>
      </c>
      <c r="AD33" s="162" t="s">
        <v>93</v>
      </c>
      <c r="AE33" s="163">
        <f>INDEX(rF1.WallLenght,1,2)/2</f>
        <v>1</v>
      </c>
      <c r="AF33" s="163">
        <f>INDEX(rF1.WallLenght,1,2)/2</f>
        <v>1</v>
      </c>
      <c r="AG33" s="163">
        <f>-INDEX(rF1.WallLenght,1,2)/2</f>
        <v>-1</v>
      </c>
      <c r="AH33" s="163">
        <f>-INDEX(rF1.WallLenght,1,2)/2</f>
        <v>-1</v>
      </c>
      <c r="AI33" s="163">
        <f>INDEX(rF1.WallLenght,1,2)/2</f>
        <v>1</v>
      </c>
      <c r="AJ33" s="164">
        <f>INDEX(rF1.WallLenght,1,2)/2</f>
        <v>1</v>
      </c>
      <c r="AK33" s="118"/>
    </row>
    <row r="34" spans="5:37" ht="15.75" thickTop="1" thickBot="1" x14ac:dyDescent="0.25">
      <c r="K34" s="146" t="s">
        <v>216</v>
      </c>
      <c r="L34" s="146" t="s">
        <v>42</v>
      </c>
      <c r="M34" s="173">
        <f ca="1">rF1.WallThickness</f>
        <v>0.25</v>
      </c>
      <c r="N34" s="174">
        <f ca="1">rF1.WallThickness</f>
        <v>0.42499999999999999</v>
      </c>
      <c r="O34" s="173">
        <f ca="1">rF1.WallThickness</f>
        <v>0.36499999999999999</v>
      </c>
      <c r="P34" s="148"/>
      <c r="Q34" s="175"/>
      <c r="R34" s="117"/>
      <c r="S34" s="155"/>
      <c r="T34" s="166"/>
      <c r="U34" s="167" t="s">
        <v>94</v>
      </c>
      <c r="V34" s="168">
        <f ca="1">rF1.PlotHeightFirstFloor+IF(rF1.CheckSlabExisting03,MAX(INDEX(rF1.SlabThickness,1,1),INDEX(rF1.SlabThickness,1,3)),INDEX(rF1.SlabThickness,1,1))</f>
        <v>2.7</v>
      </c>
      <c r="W34" s="168">
        <f ca="1">rF1.PlotHeightFirstFloor+IF(rF1.CheckSlabExisting03,MAX(INDEX(rF1.SlabThickness,1,1),INDEX(rF1.SlabThickness,1,3)),INDEX(rF1.SlabThickness,1,1))+rF1.WallHeight02</f>
        <v>5.3450000000000006</v>
      </c>
      <c r="X34" s="168">
        <f ca="1">rF1.PlotHeightFirstFloor+IF(rF1.CheckSlabExisting03,MAX(INDEX(rF1.SlabThickness,1,1),INDEX(rF1.SlabThickness,1,3)),INDEX(rF1.SlabThickness,1,1))+rF1.WallHeight02</f>
        <v>5.3450000000000006</v>
      </c>
      <c r="Y34" s="168">
        <f ca="1">rF1.PlotHeightFirstFloor+IF(rF1.CheckSlabExisting03,MAX(INDEX(rF1.SlabThickness,1,1),INDEX(rF1.SlabThickness,1,3)),INDEX(rF1.SlabThickness,1,1))</f>
        <v>2.7</v>
      </c>
      <c r="Z34" s="168">
        <f ca="1">rF1.PlotHeightFirstFloor+IF(rF1.CheckSlabExisting03,MAX(INDEX(rF1.SlabThickness,1,1),INDEX(rF1.SlabThickness,1,3)),INDEX(rF1.SlabThickness,1,1))</f>
        <v>2.7</v>
      </c>
      <c r="AA34" s="168">
        <f ca="1">rF1.PlotHeightFirstFloor+IF(rF1.CheckSlabExisting03,MAX(INDEX(rF1.SlabThickness,1,1),INDEX(rF1.SlabThickness,1,3)),INDEX(rF1.SlabThickness,1,1))+rF1.WallHeight02/2</f>
        <v>4.0225</v>
      </c>
      <c r="AB34" s="165"/>
      <c r="AC34" s="166"/>
      <c r="AD34" s="167" t="s">
        <v>94</v>
      </c>
      <c r="AE34" s="168">
        <f ca="1">rF1.PlotHeightFirstFloor+IF(rF1.CheckSlabExisting03,MAX(INDEX(rF1.SlabThickness,1,1),INDEX(rF1.SlabThickness,1,3)),INDEX(rF1.SlabThickness,1,1))</f>
        <v>2.7</v>
      </c>
      <c r="AF34" s="168">
        <f ca="1">rF1.PlotHeightFirstFloor+IF(rF1.CheckSlabExisting03,MAX(INDEX(rF1.SlabThickness,1,1),INDEX(rF1.SlabThickness,1,3)),INDEX(rF1.SlabThickness,1,1))+rF1.WallHeight02</f>
        <v>5.3450000000000006</v>
      </c>
      <c r="AG34" s="168">
        <f ca="1">rF1.PlotHeightFirstFloor+IF(rF1.CheckSlabExisting03,MAX(INDEX(rF1.SlabThickness,1,1),INDEX(rF1.SlabThickness,1,3)),INDEX(rF1.SlabThickness,1,1))+rF1.WallHeight02</f>
        <v>5.3450000000000006</v>
      </c>
      <c r="AH34" s="168">
        <f ca="1">rF1.PlotHeightFirstFloor+IF(rF1.CheckSlabExisting03,MAX(INDEX(rF1.SlabThickness,1,1),INDEX(rF1.SlabThickness,1,3)),INDEX(rF1.SlabThickness,1,1))</f>
        <v>2.7</v>
      </c>
      <c r="AI34" s="168">
        <f ca="1">rF1.PlotHeightFirstFloor+IF(rF1.CheckSlabExisting03,MAX(INDEX(rF1.SlabThickness,1,1),INDEX(rF1.SlabThickness,1,3)),INDEX(rF1.SlabThickness,1,1))</f>
        <v>2.7</v>
      </c>
      <c r="AJ34" s="169">
        <f ca="1">rF1.PlotHeightFirstFloor+IF(rF1.CheckSlabExisting03,MAX(INDEX(rF1.SlabThickness,1,1),INDEX(rF1.SlabThickness,1,3)),INDEX(rF1.SlabThickness,1,1))+rF1.WallHeight02/2</f>
        <v>4.0225</v>
      </c>
      <c r="AK34" s="118"/>
    </row>
    <row r="35" spans="5:37" ht="15.75" thickTop="1" thickBot="1" x14ac:dyDescent="0.25">
      <c r="K35" s="146" t="s">
        <v>563</v>
      </c>
      <c r="L35" s="146" t="s">
        <v>2</v>
      </c>
      <c r="M35" s="83">
        <v>2.5</v>
      </c>
      <c r="N35" s="84">
        <v>2.645</v>
      </c>
      <c r="O35" s="83">
        <v>2.645</v>
      </c>
      <c r="P35" s="148" t="s">
        <v>266</v>
      </c>
      <c r="Q35" s="131"/>
      <c r="S35" s="155" t="str">
        <f>IF(rF1.CheckWallNotExisting=1,"","W3")</f>
        <v>W3</v>
      </c>
      <c r="T35" s="158" t="str">
        <f>IF(rF1.CheckWallNotExisting=1,"",rP2.OutputWall03)</f>
        <v>Wand 3</v>
      </c>
      <c r="U35" s="162" t="s">
        <v>93</v>
      </c>
      <c r="V35" s="163">
        <f ca="1">IF(rF1.CheckWallNotExisting=1,0,INDEX(rF1.WallThickness,1,3)/2)</f>
        <v>0.1825</v>
      </c>
      <c r="W35" s="163">
        <f ca="1">IF(rF1.CheckWallNotExisting=1,0,INDEX(rF1.WallThickness,1,3)/2)</f>
        <v>0.1825</v>
      </c>
      <c r="X35" s="163">
        <f ca="1">IF(rF1.CheckWallNotExisting=1,0,-INDEX(rF1.WallThickness,1,3)/2)</f>
        <v>-0.1825</v>
      </c>
      <c r="Y35" s="163">
        <f ca="1">IF(rF1.CheckWallNotExisting=1,0,-INDEX(rF1.WallThickness,1,3)/2)</f>
        <v>-0.1825</v>
      </c>
      <c r="Z35" s="163">
        <f ca="1">IF(rF1.CheckWallNotExisting=1,0,INDEX(rF1.WallThickness,1,3)/2)</f>
        <v>0.1825</v>
      </c>
      <c r="AA35" s="164">
        <f ca="1">IF(rF1.CheckWallNotExisting=1,0,INDEX(rF1.WallThickness,1,3)/2)</f>
        <v>0.1825</v>
      </c>
      <c r="AB35" s="165"/>
      <c r="AC35" s="158" t="str">
        <f>IF(rF1.CheckWallNotExisting=1,"",rP2.OutputWall03)</f>
        <v>Wand 3</v>
      </c>
      <c r="AD35" s="162" t="s">
        <v>93</v>
      </c>
      <c r="AE35" s="163">
        <f>IF(rF1.CheckWallNotExisting=1,0,INDEX(rF1.WallLenght,1,3)/2)</f>
        <v>1</v>
      </c>
      <c r="AF35" s="163">
        <f>IF(rF1.CheckWallNotExisting=1,0,INDEX(rF1.WallLenght,1,3)/2)</f>
        <v>1</v>
      </c>
      <c r="AG35" s="163">
        <f>IF(rF1.CheckWallNotExisting=1,0,-INDEX(rF1.WallLenght,1,3)/2)</f>
        <v>-1</v>
      </c>
      <c r="AH35" s="163">
        <f>IF(rF1.CheckWallNotExisting=1,0,-INDEX(rF1.WallLenght,1,3)/2)</f>
        <v>-1</v>
      </c>
      <c r="AI35" s="163">
        <f>IF(rF1.CheckWallNotExisting=1,0,INDEX(rF1.WallLenght,1,3)/2)</f>
        <v>1</v>
      </c>
      <c r="AJ35" s="164">
        <f>IF(rF1.CheckWallNotExisting=1,0,INDEX(rF1.WallLenght,1,3)/2)</f>
        <v>1</v>
      </c>
      <c r="AK35" s="118"/>
    </row>
    <row r="36" spans="5:37" ht="15.75" thickTop="1" thickBot="1" x14ac:dyDescent="0.25">
      <c r="K36" s="146" t="s">
        <v>218</v>
      </c>
      <c r="L36" s="146" t="s">
        <v>85</v>
      </c>
      <c r="M36" s="83">
        <v>3.2</v>
      </c>
      <c r="N36" s="84">
        <v>2</v>
      </c>
      <c r="O36" s="83">
        <v>2</v>
      </c>
      <c r="P36" s="131"/>
      <c r="Q36" s="131"/>
      <c r="S36" s="155"/>
      <c r="T36" s="166"/>
      <c r="U36" s="167" t="s">
        <v>94</v>
      </c>
      <c r="V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W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8.1900000000000013</v>
      </c>
      <c r="X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8.1900000000000013</v>
      </c>
      <c r="Y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Z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AA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2)</f>
        <v>6.8675000000000006</v>
      </c>
      <c r="AB36" s="165"/>
      <c r="AC36" s="166"/>
      <c r="AD36" s="167" t="s">
        <v>94</v>
      </c>
      <c r="AE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AF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8.1900000000000013</v>
      </c>
      <c r="AG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8.1900000000000013</v>
      </c>
      <c r="AH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AI36" s="168">
        <f ca="1">IF(rF1.CheckWallNotExisting,0,rF1.PlotHeightFirstFloor+IF(rF1.CheckSlabExisting03,MAX(INDEX(rF1.SlabThickness,1,1),INDEX(rF1.SlabThickness,1,3)),INDEX(rF1.SlabThickness,1,1))+rF1.WallHeight02+IF(rF1.CheckSlabExisting04,MAX(INDEX(rF1.SlabThickness,1,2),INDEX(rF1.SlabThickness,1,4)),INDEX(rF1.SlabThickness,1,2)))</f>
        <v>5.5450000000000008</v>
      </c>
      <c r="AJ36" s="169">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2)</f>
        <v>6.8675000000000006</v>
      </c>
      <c r="AK36" s="118"/>
    </row>
    <row r="37" spans="5:37" ht="15.75" thickTop="1" thickBot="1" x14ac:dyDescent="0.25">
      <c r="K37" s="146" t="s">
        <v>376</v>
      </c>
      <c r="L37" s="146"/>
      <c r="M37" s="176"/>
      <c r="N37" s="177"/>
      <c r="O37" s="176"/>
      <c r="P37" s="131"/>
      <c r="Q37" s="131"/>
      <c r="S37" s="155"/>
      <c r="AA37" s="178"/>
      <c r="AB37" s="165"/>
      <c r="AJ37" s="178"/>
      <c r="AK37" s="118"/>
    </row>
    <row r="38" spans="5:37" ht="15.75" thickTop="1" thickBot="1" x14ac:dyDescent="0.25">
      <c r="E38" s="145" t="b">
        <f>IF(rF1.FireResClassSelection=1,TRUE,FALSE)</f>
        <v>0</v>
      </c>
      <c r="F38" s="145" t="b">
        <f>IF(AND(rF1.WallLenght02&lt;rP1.MaxLengthFireOutput,NOT(rF1.FireResNN)),TRUE,FALSE)</f>
        <v>0</v>
      </c>
      <c r="G38" s="145" t="b">
        <f ca="1">IF(AND(MIN(rF1.BearingDepthBottomRelated,rF1.BearingDepthTopRelated)&lt;rP1.MinBearingDepthFire,NOT(rF1.FireResNN)),TRUE,FALSE)</f>
        <v>1</v>
      </c>
      <c r="K38" s="146" t="s">
        <v>568</v>
      </c>
      <c r="L38" s="146"/>
      <c r="M38" s="388" t="str">
        <f ca="1">IF(rF1.CheckFireResManual02,rP2.OutputFireProofManual02,IF(rF1.CheckFireResColumn,rP2.FireProofManual,""))</f>
        <v xml:space="preserve">a &lt; 2/3 · t! → Brandnachweis ist händisch zu führen! </v>
      </c>
      <c r="N38" s="177"/>
      <c r="O38" s="387"/>
      <c r="P38" s="131"/>
      <c r="Q38" s="131"/>
      <c r="S38" s="155" t="s">
        <v>471</v>
      </c>
      <c r="T38" s="158" t="str">
        <f>rP2.OutputSlab01</f>
        <v>Decke 1</v>
      </c>
      <c r="U38" s="162" t="s">
        <v>93</v>
      </c>
      <c r="V38" s="163">
        <f ca="1">rF1.DistanceBottom02-rF1.WallThickness02/2</f>
        <v>-3.2500000000000001E-2</v>
      </c>
      <c r="W38" s="163">
        <f ca="1">rF1.DistanceBottom02-rF1.WallThickness02/2</f>
        <v>-3.2500000000000001E-2</v>
      </c>
      <c r="X38" s="163">
        <f ca="1">rF1.WallThickness02/2+INDEX(rF1.SlabSpanPerpendicular,1,1)</f>
        <v>5.7125000000000004</v>
      </c>
      <c r="Y38" s="163">
        <f ca="1">rF1.WallThickness02/2+INDEX(rF1.SlabSpanPerpendicular,1,1)</f>
        <v>5.7125000000000004</v>
      </c>
      <c r="Z38" s="163">
        <f ca="1">rF1.WallThickness02/2+INDEX(rF1.SlabSpanPerpendicular,1,1)/2</f>
        <v>2.9624999999999999</v>
      </c>
      <c r="AA38" s="164">
        <f ca="1">rF1.DistanceBottom02-rF1.WallThickness02/2</f>
        <v>-3.2500000000000001E-2</v>
      </c>
      <c r="AB38" s="165"/>
      <c r="AC38" s="158" t="str">
        <f>rP2.OutputSlab01</f>
        <v>Decke 1</v>
      </c>
      <c r="AD38" s="162" t="s">
        <v>93</v>
      </c>
      <c r="AE38" s="163">
        <f>-INDEX(rF1.SlabInfluenceWidth,1,1)/2</f>
        <v>-1.6</v>
      </c>
      <c r="AF38" s="163">
        <f>INDEX(rF1.SlabInfluenceWidth,1,1)/2</f>
        <v>1.6</v>
      </c>
      <c r="AG38" s="163">
        <f>INDEX(rF1.SlabInfluenceWidth,1,1)/2</f>
        <v>1.6</v>
      </c>
      <c r="AH38" s="163">
        <f>-INDEX(rF1.SlabInfluenceWidth,1,1)/2</f>
        <v>-1.6</v>
      </c>
      <c r="AI38" s="163">
        <f>-INDEX(rF1.SlabInfluenceWidth,1,1)/2</f>
        <v>-1.6</v>
      </c>
      <c r="AJ38" s="164">
        <f>(INDEX(rF1.SlabInfluenceWidth,1,1)-(INDEX(rF1.SlabInfluenceWidth,1,1)-INDEX(rF1.WallLenght,1,1)))/4</f>
        <v>0.8</v>
      </c>
      <c r="AK38" s="118"/>
    </row>
    <row r="39" spans="5:37" ht="15.75" thickTop="1" thickBot="1" x14ac:dyDescent="0.25">
      <c r="K39" s="170" t="s">
        <v>495</v>
      </c>
      <c r="L39" s="146"/>
      <c r="M39" s="153"/>
      <c r="N39" s="154"/>
      <c r="O39" s="153"/>
      <c r="P39" s="131"/>
      <c r="Q39" s="131"/>
      <c r="S39" s="155"/>
      <c r="T39" s="166"/>
      <c r="U39" s="167" t="s">
        <v>94</v>
      </c>
      <c r="V39" s="168">
        <f ca="1">rF1.PlotHeightFirstFloor+IF(rF1.CheckSlabExisting03,MIN(INDEX(rF1.SlabThickness,1,1),INDEX(rF1.SlabThickness,1,3)))</f>
        <v>2.5</v>
      </c>
      <c r="W39" s="168">
        <f ca="1">rF1.PlotHeightFirstFloor+INDEX(rF1.SlabThickness,1,1)</f>
        <v>2.7</v>
      </c>
      <c r="X39" s="168">
        <f ca="1">rF1.PlotHeightFirstFloor+INDEX(rF1.SlabThickness,1,1)</f>
        <v>2.7</v>
      </c>
      <c r="Y39" s="168">
        <f ca="1">rF1.PlotHeightFirstFloor</f>
        <v>2.5</v>
      </c>
      <c r="Z39" s="168">
        <f ca="1">rF1.PlotHeightFirstFloor</f>
        <v>2.5</v>
      </c>
      <c r="AA39" s="169">
        <f ca="1">rF1.PlotHeightFirstFloor</f>
        <v>2.5</v>
      </c>
      <c r="AB39" s="165"/>
      <c r="AC39" s="166"/>
      <c r="AD39" s="167" t="s">
        <v>94</v>
      </c>
      <c r="AE39" s="168">
        <f ca="1">rF1.PlotHeightFirstFloor</f>
        <v>2.5</v>
      </c>
      <c r="AF39" s="168">
        <f ca="1">rF1.PlotHeightFirstFloor</f>
        <v>2.5</v>
      </c>
      <c r="AG39" s="168">
        <f ca="1">rF1.PlotHeightFirstFloor+IF(rF1.CheckSlabExisting03,MAX(INDEX(rF1.SlabThickness,1,1),INDEX(rF1.SlabThickness,1,3)),INDEX(rF1.SlabThickness,1,1))</f>
        <v>2.7</v>
      </c>
      <c r="AH39" s="168">
        <f ca="1">rF1.PlotHeightFirstFloor+IF(rF1.CheckSlabExisting03,MAX(INDEX(rF1.SlabThickness,1,1),INDEX(rF1.SlabThickness,1,3)),INDEX(rF1.SlabThickness,1,1))</f>
        <v>2.7</v>
      </c>
      <c r="AI39" s="168">
        <f ca="1">rF1.PlotHeightFirstFloor</f>
        <v>2.5</v>
      </c>
      <c r="AJ39" s="169">
        <f ca="1">rF1.PlotHeightFirstFloor</f>
        <v>2.5</v>
      </c>
      <c r="AK39" s="118"/>
    </row>
    <row r="40" spans="5:37" ht="15.75" thickTop="1" thickBot="1" x14ac:dyDescent="0.25">
      <c r="K40" s="170" t="s">
        <v>496</v>
      </c>
      <c r="L40" s="146"/>
      <c r="M40" s="153"/>
      <c r="N40" s="154"/>
      <c r="O40" s="153"/>
      <c r="P40" s="131"/>
      <c r="Q40" s="131"/>
      <c r="S40" s="155" t="s">
        <v>472</v>
      </c>
      <c r="T40" s="158" t="str">
        <f>rP2.OutputSlab02</f>
        <v>Decke 2</v>
      </c>
      <c r="U40" s="162" t="s">
        <v>93</v>
      </c>
      <c r="V40" s="163">
        <f ca="1">rF1.DistanceTop02-rF1.WallThickness02/2</f>
        <v>-3.2500000000000001E-2</v>
      </c>
      <c r="W40" s="163">
        <f ca="1">rF1.DistanceTop02-rF1.WallThickness02/2</f>
        <v>-3.2500000000000001E-2</v>
      </c>
      <c r="X40" s="163">
        <f ca="1">rF1.WallThickness02/2+INDEX(rF1.SlabSpanPerpendicular,1,2)</f>
        <v>5.7125000000000004</v>
      </c>
      <c r="Y40" s="163">
        <f ca="1">rF1.WallThickness02/2+INDEX(rF1.SlabSpanPerpendicular,1,2)</f>
        <v>5.7125000000000004</v>
      </c>
      <c r="Z40" s="163">
        <f ca="1">rF1.WallThickness02/2+INDEX(rF1.SlabSpanPerpendicular,1,2)/2</f>
        <v>2.9624999999999999</v>
      </c>
      <c r="AA40" s="164">
        <f ca="1">rF1.DistanceTop02-rF1.WallThickness02/2</f>
        <v>-3.2500000000000001E-2</v>
      </c>
      <c r="AB40" s="165"/>
      <c r="AC40" s="158" t="str">
        <f>rP2.OutputSlab02</f>
        <v>Decke 2</v>
      </c>
      <c r="AD40" s="162" t="s">
        <v>93</v>
      </c>
      <c r="AE40" s="163">
        <f>-INDEX(rF1.SlabInfluenceWidth,1,2)/2</f>
        <v>-1.6</v>
      </c>
      <c r="AF40" s="163">
        <f>INDEX(rF1.SlabInfluenceWidth,1,2)/2</f>
        <v>1.6</v>
      </c>
      <c r="AG40" s="163">
        <f>INDEX(rF1.SlabInfluenceWidth,1,2)/2</f>
        <v>1.6</v>
      </c>
      <c r="AH40" s="163">
        <f>-INDEX(rF1.SlabInfluenceWidth,1,2)/2</f>
        <v>-1.6</v>
      </c>
      <c r="AI40" s="163">
        <f>-INDEX(rF1.SlabInfluenceWidth,1,2)/2</f>
        <v>-1.6</v>
      </c>
      <c r="AJ40" s="164">
        <f>(INDEX(rF1.SlabInfluenceWidth,1,2)-(INDEX(rF1.SlabInfluenceWidth,1,2)-INDEX(rF1.WallLenght,1,2)))/4</f>
        <v>0.5</v>
      </c>
      <c r="AK40" s="118"/>
    </row>
    <row r="41" spans="5:37" ht="15.75" thickTop="1" thickBot="1" x14ac:dyDescent="0.25">
      <c r="E41" s="179"/>
      <c r="K41" s="170" t="s">
        <v>220</v>
      </c>
      <c r="L41" s="146"/>
      <c r="M41" s="180"/>
      <c r="N41" s="181"/>
      <c r="O41" s="180"/>
      <c r="P41" s="131"/>
      <c r="Q41" s="131"/>
      <c r="S41" s="155"/>
      <c r="T41" s="166"/>
      <c r="U41" s="167" t="s">
        <v>94</v>
      </c>
      <c r="V41" s="168">
        <f ca="1">rF1.PlotHeightFirstFloor+IF(rF1.CheckSlabExisting03,MAX(INDEX(rF1.SlabThickness,1,1),INDEX(rF1.SlabThickness,1,3)),INDEX(rF1.SlabThickness,1,1))+rF1.WallHeight02+IF(rF1.CheckSlabExisting04,MIN(INDEX(rF1.SlabThickness,1,2),INDEX(rF1.SlabThickness,1,4)))</f>
        <v>5.5450000000000008</v>
      </c>
      <c r="W41" s="168">
        <f ca="1">rF1.PlotHeightFirstFloor+IF(rF1.CheckSlabExisting03,MAX(INDEX(rF1.SlabThickness,1,1),INDEX(rF1.SlabThickness,1,3)),INDEX(rF1.SlabThickness,1,1))+rF1.WallHeight02+INDEX(rF1.SlabThickness,1,2)</f>
        <v>5.5450000000000008</v>
      </c>
      <c r="X41" s="168">
        <f ca="1">rF1.PlotHeightFirstFloor+IF(rF1.CheckSlabExisting03,MAX(INDEX(rF1.SlabThickness,1,1),INDEX(rF1.SlabThickness,1,3)),INDEX(rF1.SlabThickness,1,1))+rF1.WallHeight02+INDEX(rF1.SlabThickness,1,2)</f>
        <v>5.5450000000000008</v>
      </c>
      <c r="Y41" s="168">
        <f ca="1">rF1.PlotHeightFirstFloor+IF(rF1.CheckSlabExisting03,MAX(INDEX(rF1.SlabThickness,1,1),INDEX(rF1.SlabThickness,1,3)),INDEX(rF1.SlabThickness,1,1))+rF1.WallHeight02</f>
        <v>5.3450000000000006</v>
      </c>
      <c r="Z41" s="168">
        <f ca="1">rF1.PlotHeightFirstFloor+IF(rF1.CheckSlabExisting03,MAX(INDEX(rF1.SlabThickness,1,1),INDEX(rF1.SlabThickness,1,3)),INDEX(rF1.SlabThickness,1,1))+rF1.WallHeight02</f>
        <v>5.3450000000000006</v>
      </c>
      <c r="AA41" s="168">
        <f ca="1">rF1.PlotHeightFirstFloor+IF(rF1.CheckSlabExisting03,MAX(INDEX(rF1.SlabThickness,1,1),INDEX(rF1.SlabThickness,1,3)),INDEX(rF1.SlabThickness,1,1))+rF1.WallHeight02</f>
        <v>5.3450000000000006</v>
      </c>
      <c r="AB41" s="165"/>
      <c r="AC41" s="166"/>
      <c r="AD41" s="167" t="s">
        <v>94</v>
      </c>
      <c r="AE41" s="168">
        <f ca="1">rF1.PlotHeightFirstFloor+IF(rF1.CheckSlabExisting03,MAX(INDEX(rF1.SlabThickness,1,1),INDEX(rF1.SlabThickness,1,3)),INDEX(rF1.SlabThickness,1,1))+rF1.WallHeight02</f>
        <v>5.3450000000000006</v>
      </c>
      <c r="AF41" s="168">
        <f ca="1">rF1.PlotHeightFirstFloor+IF(rF1.CheckSlabExisting03,MAX(INDEX(rF1.SlabThickness,1,1),INDEX(rF1.SlabThickness,1,3)),INDEX(rF1.SlabThickness,1,1))+rF1.WallHeight02</f>
        <v>5.3450000000000006</v>
      </c>
      <c r="AG41" s="168">
        <f ca="1">rF1.PlotHeightFirstFloor+IF(rF1.CheckSlabExisting03,MAX(INDEX(rF1.SlabThickness,1,1),INDEX(rF1.SlabThickness,1,3)),INDEX(rF1.SlabThickness,1,1))+rF1.WallHeight02+IF(rF1.CheckSlabExisting04,MAX(INDEX(rF1.SlabThickness,1,2),INDEX(rF1.SlabThickness,1,4)),INDEX(rF1.SlabThickness,1,2))</f>
        <v>5.5450000000000008</v>
      </c>
      <c r="AH41" s="168">
        <f ca="1">rF1.PlotHeightFirstFloor+IF(rF1.CheckSlabExisting03,MAX(INDEX(rF1.SlabThickness,1,1),INDEX(rF1.SlabThickness,1,3)),INDEX(rF1.SlabThickness,1,1))+rF1.WallHeight02+IF(rF1.CheckSlabExisting04,MAX(INDEX(rF1.SlabThickness,1,2),INDEX(rF1.SlabThickness,1,4)),INDEX(rF1.SlabThickness,1,2))</f>
        <v>5.5450000000000008</v>
      </c>
      <c r="AI41" s="168">
        <f ca="1">rF1.PlotHeightFirstFloor+IF(rF1.CheckSlabExisting03,MAX(INDEX(rF1.SlabThickness,1,1),INDEX(rF1.SlabThickness,1,3)),INDEX(rF1.SlabThickness,1,1))+rF1.WallHeight02</f>
        <v>5.3450000000000006</v>
      </c>
      <c r="AJ41" s="169">
        <f ca="1">rF1.PlotHeightFirstFloor+IF(rF1.CheckSlabExisting03,MAX(INDEX(rF1.SlabThickness,1,1),INDEX(rF1.SlabThickness,1,3)),INDEX(rF1.SlabThickness,1,1))+rF1.WallHeight02</f>
        <v>5.3450000000000006</v>
      </c>
      <c r="AK41" s="118"/>
    </row>
    <row r="42" spans="5:37" ht="17.25" thickTop="1" thickBot="1" x14ac:dyDescent="0.25">
      <c r="E42" s="64" t="b">
        <v>0</v>
      </c>
      <c r="K42" s="146" t="s">
        <v>221</v>
      </c>
      <c r="L42" s="146" t="s">
        <v>356</v>
      </c>
      <c r="M42" s="182" t="str">
        <f ca="1">IF(rF1.CheckWoodenSlab02,rP2.OutputEccentricityWoodenSlab,"")</f>
        <v/>
      </c>
      <c r="N42" s="84">
        <v>0</v>
      </c>
      <c r="O42" s="180"/>
      <c r="P42" s="131"/>
      <c r="Q42" s="131"/>
      <c r="S42" s="155" t="str">
        <f ca="1">IF(rF1.CheckSlabExisting03=0,"","D3")</f>
        <v/>
      </c>
      <c r="T42" s="158" t="str">
        <f ca="1">IF(rF1.CheckSlabExisting03=0,"",rP2.OutputSlab03)</f>
        <v/>
      </c>
      <c r="U42" s="162" t="s">
        <v>93</v>
      </c>
      <c r="V42" s="163">
        <f ca="1">IF(rF1.CheckSlabExisting03=0,0,rF1.DistanceBottom02-rF1.WallThickness02/2)</f>
        <v>0</v>
      </c>
      <c r="W42" s="163">
        <f ca="1">IF(rF1.CheckSlabExisting03=0,0,rF1.DistanceBottom02-rF1.WallThickness02/2)</f>
        <v>0</v>
      </c>
      <c r="X42" s="163">
        <f ca="1">IF(rF1.CheckSlabExisting03=0,0,-rF1.WallThickness02/2-INDEX(rF1.SlabSpanPerpendicular,1,3))</f>
        <v>0</v>
      </c>
      <c r="Y42" s="163">
        <f ca="1">IF(rF1.CheckSlabExisting03=0,0,-rF1.WallThickness02/2-INDEX(rF1.SlabSpanPerpendicular,1,3))</f>
        <v>0</v>
      </c>
      <c r="Z42" s="163">
        <f ca="1">IF(rF1.CheckSlabExisting03=0,0,-rF1.WallThickness02/2-INDEX(rF1.SlabSpanPerpendicular,1,3)/2)</f>
        <v>0</v>
      </c>
      <c r="AA42" s="164">
        <f ca="1">IF(rF1.CheckSlabExisting03=0,0,rF1.DistanceBottom02-rF1.WallThickness02/2)</f>
        <v>0</v>
      </c>
      <c r="AB42" s="165"/>
      <c r="AD42" s="134"/>
      <c r="AJ42" s="178"/>
      <c r="AK42" s="118"/>
    </row>
    <row r="43" spans="5:37" ht="17.25" thickTop="1" thickBot="1" x14ac:dyDescent="0.25">
      <c r="E43" s="64" t="b">
        <v>0</v>
      </c>
      <c r="K43" s="146" t="s">
        <v>222</v>
      </c>
      <c r="L43" s="146" t="s">
        <v>357</v>
      </c>
      <c r="M43" s="182" t="str">
        <f ca="1">IF(rF1.CheckWoodenSlab01,rP2.OutputEccentricityWoodenSlab,"")</f>
        <v/>
      </c>
      <c r="N43" s="84">
        <v>0</v>
      </c>
      <c r="O43" s="180"/>
      <c r="P43" s="131"/>
      <c r="Q43" s="131"/>
      <c r="S43" s="155"/>
      <c r="T43" s="166"/>
      <c r="U43" s="167" t="s">
        <v>94</v>
      </c>
      <c r="V43" s="168">
        <f ca="1">IF(rF1.CheckSlabExisting03=0,0,rF1.PlotHeightFirstFloor+MIN(INDEX(rF1.SlabThickness,1,1),INDEX(rF1.SlabThickness,1,3)))</f>
        <v>0</v>
      </c>
      <c r="W43" s="168">
        <f ca="1">IF(rF1.CheckSlabExisting03=0,0,rF1.PlotHeightFirstFloor+INDEX(rF1.SlabThickness,1,3))</f>
        <v>0</v>
      </c>
      <c r="X43" s="168">
        <f ca="1">IF(rF1.CheckSlabExisting03=0,0,rF1.PlotHeightFirstFloor+INDEX(rF1.SlabThickness,1,3))</f>
        <v>0</v>
      </c>
      <c r="Y43" s="168">
        <f ca="1">IF(rF1.CheckSlabExisting03=0,0,rF1.PlotHeightFirstFloor)</f>
        <v>0</v>
      </c>
      <c r="Z43" s="168">
        <f ca="1">IF(rF1.CheckSlabExisting03=0,0,rF1.PlotHeightFirstFloor)</f>
        <v>0</v>
      </c>
      <c r="AA43" s="169">
        <f ca="1">IF(rF1.CheckSlabExisting03=0,0,rF1.PlotHeightFirstFloor)</f>
        <v>0</v>
      </c>
      <c r="AB43" s="165"/>
      <c r="AD43" s="134"/>
      <c r="AJ43" s="178"/>
      <c r="AK43" s="118"/>
    </row>
    <row r="44" spans="5:37" ht="17.25" thickTop="1" thickBot="1" x14ac:dyDescent="0.25">
      <c r="E44" s="145">
        <f ca="1">MAX(INDEX(rF1.WallThickness,1,1)/3+0.04,0.1)</f>
        <v>0.12333333333333332</v>
      </c>
      <c r="F44" s="145">
        <f ca="1">MAX(rF1.WallThickness02/3+0.04,0.1)</f>
        <v>0.18166666666666667</v>
      </c>
      <c r="G44" s="179"/>
      <c r="H44" s="145" t="b">
        <f ca="1">IF(INDEX(rF1.SlabType,1,4)=rP1.CheckWordCantilever,TRUE,FALSE)</f>
        <v>1</v>
      </c>
      <c r="K44" s="185" t="s">
        <v>490</v>
      </c>
      <c r="L44" s="146" t="s">
        <v>358</v>
      </c>
      <c r="M44" s="83">
        <v>0.25</v>
      </c>
      <c r="N44" s="395">
        <v>0.245</v>
      </c>
      <c r="O44" s="173"/>
      <c r="P44" s="184" t="str">
        <f ca="1">IF(OR(AND(rF1.CheckSlabExisting04=1,INDEX(rF1.DistanceBottom,1,3)&lt;&gt;0),AND(rF1.CheckSlabExisting04=1,INDEX(rF1.DistanceTop,1,2)&lt;&gt;0)),IF(INDEX(rF1.SlabType,1,4)=rP1.CheckWordCantilever,rP2.OutputIsokorbSlab04,rP2.OutputContinuousSlab),IF(rF1.BearingDepthTop02&lt;rF1.MinBearingDepthTop02,IF(rF1.MinBearingDepthTop02=0.1,rP2.OutputBearingDepth02,rP2.OutputBearingDepth01&amp;" = "&amp;ROUND(rF1.MinBearingDepthTop02*1000,0)&amp;" mm!"),""))</f>
        <v>Auskragung Decke 4 mit Iso-Korb</v>
      </c>
      <c r="Q44" s="129"/>
      <c r="S44" s="155" t="str">
        <f ca="1">IF(rF1.CheckSlabExisting04=0,"","D4")</f>
        <v>D4</v>
      </c>
      <c r="T44" s="158" t="str">
        <f ca="1">IF(rF1.CheckSlabExisting04=0,"",rP2.OutputSlab04)</f>
        <v>Decke 4</v>
      </c>
      <c r="U44" s="162" t="s">
        <v>93</v>
      </c>
      <c r="V44" s="163">
        <f ca="1">IF(rF1.CheckSlabExisting04=0,0,rF1.DistanceTop02-rF1.WallThickness02/2)</f>
        <v>-3.2500000000000001E-2</v>
      </c>
      <c r="W44" s="163">
        <f ca="1">IF(rF1.CheckSlabExisting04=0,0,rF1.DistanceTop02-rF1.WallThickness02/2)</f>
        <v>-3.2500000000000001E-2</v>
      </c>
      <c r="X44" s="163">
        <f ca="1">IF(rF1.CheckSlabExisting04=0,0,-rF1.WallThickness02/2-INDEX(rF1.SlabSpanPerpendicular,1,4))</f>
        <v>-2.2124999999999999</v>
      </c>
      <c r="Y44" s="163">
        <f ca="1">IF(rF1.CheckSlabExisting04=0,0,-rF1.WallThickness02/2-INDEX(rF1.SlabSpanPerpendicular,1,4))</f>
        <v>-2.2124999999999999</v>
      </c>
      <c r="Z44" s="163">
        <f ca="1">IF(rF1.CheckSlabExisting04=0,0,-rF1.WallThickness02/2-INDEX(rF1.SlabSpanPerpendicular,1,4)/2)</f>
        <v>-1.2124999999999999</v>
      </c>
      <c r="AA44" s="164">
        <f ca="1">IF(rF1.CheckSlabExisting04=0,0,rF1.DistanceTop02-rF1.WallThickness02/2)</f>
        <v>-3.2500000000000001E-2</v>
      </c>
      <c r="AB44" s="165"/>
      <c r="AD44" s="134"/>
      <c r="AJ44" s="178"/>
      <c r="AK44" s="118"/>
    </row>
    <row r="45" spans="5:37" ht="17.25" thickTop="1" thickBot="1" x14ac:dyDescent="0.25">
      <c r="F45" s="145">
        <f ca="1">MAX(rF1.WallThickness02/3+0.04,0.1)</f>
        <v>0.18166666666666667</v>
      </c>
      <c r="G45" s="145">
        <f ca="1">MAX(INDEX(rF1.WallThickness,1,3)/3+0.04,0.1)</f>
        <v>0.16166666666666665</v>
      </c>
      <c r="H45" s="145" t="b">
        <f ca="1">IF(INDEX(rF1.SlabType,1,3)=rP1.CheckWordCantilever,TRUE,FALSE)</f>
        <v>0</v>
      </c>
      <c r="K45" s="187" t="s">
        <v>491</v>
      </c>
      <c r="L45" s="185" t="s">
        <v>359</v>
      </c>
      <c r="M45" s="173"/>
      <c r="N45" s="395">
        <v>0.245</v>
      </c>
      <c r="O45" s="83">
        <v>0.245</v>
      </c>
      <c r="P45" s="184" t="str">
        <f ca="1">IF(OR(AND(rF1.CheckSlabExisting03,INDEX(rF1.DistanceBottom,1,2)&lt;&gt;0),AND(rF1.CheckSlabExisting03,INDEX(rF1.DistanceTop,1,1)&lt;&gt;0)),IF(INDEX(rF1.SlabType,1,3)=rP1.CheckWordCantilever,rP2.OutputIsokorbSlab03,rP2.OutputContinuousSlab),IF(rF1.BearingDepthBottom02&lt;rF1.MinBearingDepthBottom02,IF(rF1.MinBearingDepthBottom02=0.1,rP2.OutputBearingDepth02,rP2.OutputBearingDepth01&amp;" = "&amp;ROUND(rF1.MinBearingDepthBottom02*1000,0)&amp;" mm!"),""))</f>
        <v/>
      </c>
      <c r="Q45" s="153"/>
      <c r="S45" s="155"/>
      <c r="T45" s="166"/>
      <c r="U45" s="167" t="s">
        <v>94</v>
      </c>
      <c r="V45" s="168">
        <f ca="1">IF(rF1.CheckSlabExisting04=0,0,rF1.PlotHeightFirstFloor+IF(rF1.CheckSlabExisting03,MAX(INDEX(rF1.SlabThickness,1,1),INDEX(rF1.SlabThickness,1,3)),INDEX(rF1.SlabThickness,1,1))+rF1.WallHeight02+MIN(INDEX(rF1.SlabThickness,1,2),INDEX(rF1.SlabThickness,1,4)))</f>
        <v>5.5450000000000008</v>
      </c>
      <c r="W45" s="168">
        <f ca="1">IF(rF1.CheckSlabExisting04=0,0,rF1.PlotHeightFirstFloor+IF(rF1.CheckSlabExisting03,MAX(INDEX(rF1.SlabThickness,1,1),INDEX(rF1.SlabThickness,1,3)),INDEX(rF1.SlabThickness,1,1))+rF1.WallHeight02+INDEX(rF1.SlabThickness,1,4))</f>
        <v>5.5450000000000008</v>
      </c>
      <c r="X45" s="168">
        <f ca="1">IF(rF1.CheckSlabExisting04=0,0,rF1.PlotHeightFirstFloor+IF(rF1.CheckSlabExisting03,MAX(INDEX(rF1.SlabThickness,1,1),INDEX(rF1.SlabThickness,1,3)),INDEX(rF1.SlabThickness,1,1))+rF1.WallHeight02+INDEX(rF1.SlabThickness,1,4))</f>
        <v>5.5450000000000008</v>
      </c>
      <c r="Y45" s="168">
        <f ca="1">IF(rF1.CheckSlabExisting04=0,0,rF1.PlotHeightFirstFloor+IF(rF1.CheckSlabExisting03,MAX(INDEX(rF1.SlabThickness,1,1),INDEX(rF1.SlabThickness,1,3)),INDEX(rF1.SlabThickness,1,1))+rF1.WallHeight02)</f>
        <v>5.3450000000000006</v>
      </c>
      <c r="Z45" s="168">
        <f ca="1">IF(rF1.CheckSlabExisting04=0,0,rF1.PlotHeightFirstFloor+IF(rF1.CheckSlabExisting03,MAX(INDEX(rF1.SlabThickness,1,1),INDEX(rF1.SlabThickness,1,3)),INDEX(rF1.SlabThickness,1,1))+rF1.WallHeight02)</f>
        <v>5.3450000000000006</v>
      </c>
      <c r="AA45" s="168">
        <f ca="1">IF(rF1.CheckSlabExisting04=0,0,rF1.PlotHeightFirstFloor+IF(rF1.CheckSlabExisting03,MAX(INDEX(rF1.SlabThickness,1,1),INDEX(rF1.SlabThickness,1,3)),INDEX(rF1.SlabThickness,1,1))+rF1.WallHeight02)</f>
        <v>5.3450000000000006</v>
      </c>
      <c r="AB45" s="165"/>
      <c r="AD45" s="134"/>
      <c r="AJ45" s="178"/>
      <c r="AK45" s="118"/>
    </row>
    <row r="46" spans="5:37" ht="17.25" thickTop="1" thickBot="1" x14ac:dyDescent="0.25">
      <c r="E46" s="145">
        <f ca="1">INDEX(rF1.WallThickness,1,1)</f>
        <v>0.25</v>
      </c>
      <c r="F46" s="145">
        <f ca="1">rF1.WallThickness02</f>
        <v>0.42499999999999999</v>
      </c>
      <c r="K46" s="146" t="s">
        <v>559</v>
      </c>
      <c r="L46" s="146" t="s">
        <v>562</v>
      </c>
      <c r="M46" s="399">
        <f ca="1">rF1.BearingDepthTop01/rF1.WallThickness</f>
        <v>1</v>
      </c>
      <c r="N46" s="390">
        <f ca="1">rF1.BearingDepthTop02/rF1.WallThickness02</f>
        <v>0.57647058823529407</v>
      </c>
      <c r="O46" s="173"/>
      <c r="P46" s="184"/>
      <c r="Q46" s="131"/>
      <c r="S46" s="155"/>
      <c r="T46" s="158" t="s">
        <v>119</v>
      </c>
      <c r="U46" s="162" t="s">
        <v>93</v>
      </c>
      <c r="V46" s="163">
        <f ca="1">MAX(MAX(rF1.PlotPoints01,ABS(MIN(rF1.PlotPoints01))))*rF1.PlotOutlineFactor01</f>
        <v>9.0090000000000021</v>
      </c>
      <c r="W46" s="186">
        <f ca="1">-MAX(MAX(rF1.PlotPoints01,ABS(MIN(rF1.PlotPoints01))))*rF1.PlotOutlineFactor01</f>
        <v>-9.0090000000000021</v>
      </c>
      <c r="AA46" s="178"/>
      <c r="AB46" s="155"/>
      <c r="AC46" s="158" t="s">
        <v>119</v>
      </c>
      <c r="AD46" s="162" t="s">
        <v>93</v>
      </c>
      <c r="AE46" s="163">
        <f ca="1">MAX(MAX(rF1.PlotPoints01,ABS(MIN(rF1.PlotPoints01))))*rF1.PlotOutlineFactor01</f>
        <v>9.0090000000000021</v>
      </c>
      <c r="AF46" s="186">
        <f ca="1">-MAX(MAX(rF1.PlotPoints01,ABS(MIN(rF1.PlotPoints01))))*rF1.PlotOutlineFactor01</f>
        <v>-9.0090000000000021</v>
      </c>
      <c r="AJ46" s="178"/>
      <c r="AK46" s="118"/>
    </row>
    <row r="47" spans="5:37" ht="17.25" thickTop="1" thickBot="1" x14ac:dyDescent="0.25">
      <c r="F47" s="145">
        <f ca="1">rF1.WallThickness02</f>
        <v>0.42499999999999999</v>
      </c>
      <c r="G47" s="145">
        <f ca="1">INDEX(rF1.WallThickness,1,3)</f>
        <v>0.36499999999999999</v>
      </c>
      <c r="K47" s="185" t="s">
        <v>560</v>
      </c>
      <c r="L47" s="185" t="s">
        <v>561</v>
      </c>
      <c r="M47" s="173"/>
      <c r="N47" s="391">
        <f ca="1">rF1.BearingDepthBottom02/rF1.WallThickness02</f>
        <v>0.57647058823529407</v>
      </c>
      <c r="O47" s="399">
        <f ca="1">rF1.BearingDepthBottom03/rF1.WallThickness</f>
        <v>0.67123287671232879</v>
      </c>
      <c r="P47" s="410"/>
      <c r="Q47" s="129"/>
      <c r="S47" s="188" t="s">
        <v>123</v>
      </c>
      <c r="T47" s="189">
        <v>1.1000000000000001</v>
      </c>
      <c r="U47" s="167" t="s">
        <v>94</v>
      </c>
      <c r="V47" s="168">
        <f ca="1">MAX(MAX(rF1.PlotPoints01,ABS(MIN(rF1.PlotPoints01))))*rF1.PlotOutlineFactor01</f>
        <v>9.0090000000000021</v>
      </c>
      <c r="W47" s="190">
        <f ca="1">MAX(MAX(rF1.PlotPoints01,ABS(MIN(rF1.PlotPoints01))))*rF1.PlotOutlineFactor01</f>
        <v>9.0090000000000021</v>
      </c>
      <c r="AA47" s="178"/>
      <c r="AB47" s="188" t="s">
        <v>123</v>
      </c>
      <c r="AC47" s="191">
        <f>rF1.PlotOutlineFactor01</f>
        <v>1.1000000000000001</v>
      </c>
      <c r="AD47" s="167" t="s">
        <v>94</v>
      </c>
      <c r="AE47" s="168">
        <f ca="1">MAX(MAX(rF1.PlotPoints01,ABS(MIN(rF1.PlotPoints01))))*rF1.PlotOutlineFactor01</f>
        <v>9.0090000000000021</v>
      </c>
      <c r="AF47" s="190">
        <f ca="1">MAX(MAX(rF1.PlotPoints01,ABS(MIN(rF1.PlotPoints01))))*rF1.PlotOutlineFactor01</f>
        <v>9.0090000000000021</v>
      </c>
      <c r="AJ47" s="178"/>
      <c r="AK47" s="118"/>
    </row>
    <row r="48" spans="5:37" ht="15" thickTop="1" x14ac:dyDescent="0.2">
      <c r="K48" s="142" t="s">
        <v>225</v>
      </c>
      <c r="L48" s="142"/>
      <c r="M48" s="143" t="s">
        <v>255</v>
      </c>
      <c r="N48" s="143" t="s">
        <v>256</v>
      </c>
      <c r="O48" s="143" t="s">
        <v>257</v>
      </c>
      <c r="P48" s="143" t="s">
        <v>258</v>
      </c>
      <c r="Q48" s="192"/>
      <c r="S48" s="193"/>
      <c r="AA48" s="178"/>
      <c r="AB48" s="165"/>
      <c r="AJ48" s="178"/>
      <c r="AK48" s="118"/>
    </row>
    <row r="49" spans="5:40" ht="15" thickBot="1" x14ac:dyDescent="0.25">
      <c r="E49" s="194">
        <f ca="1">IF(OR(OFFSET(rL1.Slab01Head,rF1.SlabTypeSelection01,0,1,1)=rP1.CheckwordBaseplate,AND(rF1.CheckWoodenSlab01=0,OFFSET(rL1.Slab03Head,rF1.SlabTypeSelection03,0,1,1)=rP1.CheckwordBaseplate)),1,0)</f>
        <v>0</v>
      </c>
      <c r="G49" s="194">
        <f ca="1">IF(OFFSET(rF1.Slab03List,MIN(rF1.SlabTypeSelection03-1,COUNTA(rF1.Slab03List)-1),0,1,1)=rP1.CheckwordNotExisting,0,1)</f>
        <v>0</v>
      </c>
      <c r="H49" s="194">
        <f ca="1">IF(OFFSET(rF1.Slab04List,MIN(rF1.SlabTypeSelection04-1,COUNTA(rF1.Slab04List)-1),0,1,1)=rP1.CheckwordNotExisting,0,1)</f>
        <v>1</v>
      </c>
      <c r="K49" s="146" t="s">
        <v>226</v>
      </c>
      <c r="L49" s="146"/>
      <c r="M49" s="195"/>
      <c r="N49" s="196"/>
      <c r="O49" s="196"/>
      <c r="P49" s="197"/>
      <c r="Q49" s="131"/>
      <c r="S49" s="193"/>
      <c r="T49" s="158" t="s">
        <v>178</v>
      </c>
      <c r="U49" s="186"/>
      <c r="V49" s="163"/>
      <c r="W49" s="163"/>
      <c r="X49" s="163"/>
      <c r="Y49" s="198"/>
      <c r="Z49" s="163"/>
      <c r="AA49" s="164"/>
      <c r="AB49" s="165"/>
      <c r="AJ49" s="178"/>
      <c r="AK49" s="118"/>
    </row>
    <row r="50" spans="5:40" ht="15.75" thickTop="1" thickBot="1" x14ac:dyDescent="0.25">
      <c r="E50" s="145">
        <f ca="1">IF(OFFSET(rL1.Slab01Head,rF1.SlabTypeSelection01,0,1,1)=rP1.CheckwordWoodenSlab,1,0)</f>
        <v>0</v>
      </c>
      <c r="F50" s="145">
        <f ca="1">IF(OFFSET(rL1.Slab02Head,rF1.SlabTypeSelection02,0,1,1)=rP1.CheckwordWoodenSlab,1,0)</f>
        <v>0</v>
      </c>
      <c r="G50" s="145">
        <f ca="1">IF(AND(OFFSET(rL1.Slab01Head,rF1.SlabTypeSelection01,0,1,1)=rP1.CheckwordWoodenSlab,rF1.CheckSlabExisting03),1,0)</f>
        <v>0</v>
      </c>
      <c r="H50" s="145">
        <f ca="1">IF(AND(OFFSET(rL1.Slab02Head,rF1.SlabTypeSelection02,0,1,1)=rP1.CheckwordWoodenSlab,rF1.CheckSlabExisting04),1,0)</f>
        <v>0</v>
      </c>
      <c r="K50" s="170" t="s">
        <v>219</v>
      </c>
      <c r="L50" s="146"/>
      <c r="M50" s="199"/>
      <c r="N50" s="200"/>
      <c r="O50" s="200"/>
      <c r="P50" s="201"/>
      <c r="Q50" s="131"/>
      <c r="S50" s="202" t="s">
        <v>123</v>
      </c>
      <c r="T50" s="203">
        <v>0.05</v>
      </c>
      <c r="U50" s="204"/>
      <c r="V50" s="134">
        <v>0</v>
      </c>
      <c r="W50" s="134">
        <v>1</v>
      </c>
      <c r="X50" s="134" t="s">
        <v>179</v>
      </c>
      <c r="Y50" s="166" t="s">
        <v>1</v>
      </c>
      <c r="Z50" s="205" t="s">
        <v>10</v>
      </c>
      <c r="AA50" s="206" t="s">
        <v>9</v>
      </c>
      <c r="AB50" s="165"/>
      <c r="AD50" s="207" t="s">
        <v>195</v>
      </c>
      <c r="AE50" s="158">
        <v>0</v>
      </c>
      <c r="AF50" s="162">
        <v>1</v>
      </c>
      <c r="AJ50" s="178"/>
      <c r="AK50" s="118"/>
      <c r="AM50" s="118"/>
      <c r="AN50" s="118"/>
    </row>
    <row r="51" spans="5:40" ht="17.25" thickTop="1" thickBot="1" x14ac:dyDescent="0.25">
      <c r="K51" s="146" t="s">
        <v>227</v>
      </c>
      <c r="L51" s="146" t="s">
        <v>3</v>
      </c>
      <c r="M51" s="85">
        <v>5.5</v>
      </c>
      <c r="N51" s="86">
        <v>5.5</v>
      </c>
      <c r="O51" s="86">
        <v>5</v>
      </c>
      <c r="P51" s="87">
        <v>2</v>
      </c>
      <c r="Q51" s="131"/>
      <c r="S51" s="155"/>
      <c r="T51" s="158" t="str">
        <f>rP2.OutputSlab01</f>
        <v>Decke 1</v>
      </c>
      <c r="U51" s="162" t="s">
        <v>93</v>
      </c>
      <c r="V51" s="163">
        <f>INDEX(rF1.PositioningLineLoad,1,1)</f>
        <v>0</v>
      </c>
      <c r="W51" s="163">
        <f>INDEX(rF1.PositioningLineLoad,1,1)</f>
        <v>0</v>
      </c>
      <c r="X51" s="208" t="str">
        <f ca="1">IF(OR(rF1.CheckWoodenSlab01,rF1.CheckBendingMomentSlabBottom,INDEX(rF1.DesignTotalLineLoad,1,1)=0,INDEX(rF1.PositioningLineLoad,1,1)=0),"",INDEX(rF1.DesignTotalLineLoad,1,1))</f>
        <v/>
      </c>
      <c r="Y51" s="209" t="s">
        <v>93</v>
      </c>
      <c r="Z51" s="118">
        <f ca="1">rF1.WallThickness02/2+INDEX(rF1.SlabSpanPerpendicular,1,1)</f>
        <v>5.7125000000000004</v>
      </c>
      <c r="AA51" s="178">
        <f ca="1">rF1.WallThickness02/2+INDEX(rF1.SlabSpanPerpendicular,1,1)</f>
        <v>5.7125000000000004</v>
      </c>
      <c r="AB51" s="165"/>
      <c r="AD51" s="210" t="s">
        <v>93</v>
      </c>
      <c r="AE51" s="163">
        <f ca="1">IF(rF1.FixedVergesNumber=0,0,INDEX(rF1.WallLenght,1,2)/2)</f>
        <v>0</v>
      </c>
      <c r="AF51" s="186">
        <f ca="1">IF(rF1.FixedVergesNumber=0,0,INDEX(rF1.WallLenght,1,2)/2)</f>
        <v>0</v>
      </c>
      <c r="AJ51" s="178"/>
      <c r="AK51" s="118"/>
    </row>
    <row r="52" spans="5:40" ht="17.25" thickTop="1" thickBot="1" x14ac:dyDescent="0.25">
      <c r="K52" s="146" t="s">
        <v>228</v>
      </c>
      <c r="L52" s="146" t="s">
        <v>4</v>
      </c>
      <c r="M52" s="85">
        <v>9.5</v>
      </c>
      <c r="N52" s="86">
        <v>9.5</v>
      </c>
      <c r="O52" s="86">
        <v>10</v>
      </c>
      <c r="P52" s="87">
        <v>3.8</v>
      </c>
      <c r="Q52" s="131"/>
      <c r="S52" s="155"/>
      <c r="T52" s="166"/>
      <c r="U52" s="167" t="s">
        <v>94</v>
      </c>
      <c r="V52" s="168">
        <f ca="1">IF(OR(rF1.CheckWoodenSlab01,rF1.CheckBendingMomentSlabBottom,INDEX(rF1.DesignTotalLineLoad,1,1)=0,INDEX(rF1.PositioningLineLoad,1,1)=0),-5,rF1.PlotHeightFirstFloor+INDEX(rF1.SlabThickness,1,1)+INDEX(rF1.DesignTotalLineLoad,1,1)*rF1.PlotFactorLineLoad)</f>
        <v>-5</v>
      </c>
      <c r="W52" s="168">
        <f ca="1">IF(OR(rF1.CheckWoodenSlab01,rF1.CheckBendingMomentSlabBottom,INDEX(rF1.DesignTotalLineLoad,1,1)=0,INDEX(rF1.PositioningLineLoad,1,1)=0),-5,rF1.PlotHeightFirstFloor+INDEX(rF1.SlabThickness,1,1))</f>
        <v>-5</v>
      </c>
      <c r="X52" s="190"/>
      <c r="Y52" s="209" t="s">
        <v>94</v>
      </c>
      <c r="Z52" s="118">
        <f ca="1">IF(AND(rF1.CheckBasePlate=0,INDEX(rF1.SlabBearingType,1,1)=rP1.CheckwordFixed),rF1.PlotHeightFirstFloor,-5)</f>
        <v>2.5</v>
      </c>
      <c r="AA52" s="178">
        <f ca="1">IF(AND(rF1.CheckBasePlate=0,OR(INDEX(rF1.SlabBearingType,1,1)=rP1.CheckwordHinged,rF1.CheckWoodenSlab01=1)),rF1.PlotHeightFirstFloor,-5)</f>
        <v>-5</v>
      </c>
      <c r="AB52" s="165"/>
      <c r="AD52" s="211" t="s">
        <v>94</v>
      </c>
      <c r="AE52" s="168">
        <f ca="1">IF(rF1.FixedVergesNumber=0,0,rF1.PlotHeightFirstFloor+IF(rF1.CheckSlabExisting03,MAX(INDEX(rF1.SlabThickness,1,1),INDEX(rF1.SlabThickness,1,3)),INDEX(rF1.SlabThickness,1,1)))</f>
        <v>0</v>
      </c>
      <c r="AF52" s="190">
        <f ca="1">IF(rF1.FixedVergesNumber=0,0,rF1.PlotHeightFirstFloor+IF(rF1.CheckSlabExisting03,MAX(INDEX(rF1.SlabThickness,1,1),INDEX(rF1.SlabThickness,1,3)),INDEX(rF1.SlabThickness,1,1))+rF1.WallHeight02)</f>
        <v>0</v>
      </c>
      <c r="AJ52" s="178"/>
      <c r="AK52" s="118"/>
    </row>
    <row r="53" spans="5:40" ht="15.75" thickTop="1" thickBot="1" x14ac:dyDescent="0.25">
      <c r="E53" s="212">
        <f ca="1">MAX(INDEX(rF1.WallLenght,1,2),IF(AND(rF1.CheckBasePlate=0,rF1.CheckFoundation=0),INDEX(rF1.WallLenght,1,1),0))</f>
        <v>3.2</v>
      </c>
      <c r="F53" s="212">
        <f>MAX(INDEX(rF1.WallLenght,1,2),IF(rF1.CheckWallNotExisting=0,INDEX(rF1.WallLenght,1,3),0))</f>
        <v>2</v>
      </c>
      <c r="K53" s="146" t="s">
        <v>229</v>
      </c>
      <c r="L53" s="146" t="s">
        <v>136</v>
      </c>
      <c r="M53" s="85">
        <v>3.2</v>
      </c>
      <c r="N53" s="86">
        <v>3.2</v>
      </c>
      <c r="O53" s="213">
        <f>INDEX(rF1.SlabInfluenceWidth,1,1)</f>
        <v>3.2</v>
      </c>
      <c r="P53" s="214">
        <f>INDEX(rF1.SlabInfluenceWidth,1,2)</f>
        <v>3.2</v>
      </c>
      <c r="Q53" s="131"/>
      <c r="S53" s="155"/>
      <c r="T53" s="158" t="str">
        <f>rP2.OutputSlab02</f>
        <v>Decke 2</v>
      </c>
      <c r="U53" s="162" t="s">
        <v>93</v>
      </c>
      <c r="V53" s="163">
        <f>INDEX(rF1.PositioningLineLoad,1,2)</f>
        <v>0</v>
      </c>
      <c r="W53" s="163">
        <f>INDEX(rF1.PositioningLineLoad,1,2)</f>
        <v>0</v>
      </c>
      <c r="X53" s="215" t="str">
        <f ca="1">IF(OR(rF1.CheckWoodenSlab02,rF1.CheckBendingMomentSlabTop,INDEX(rF1.DesignTotalLineLoad,1,2)=0,INDEX(rF1.PositioningLineLoad,1,2)=0),"",INDEX(rF1.DesignTotalLineLoad,1,2))</f>
        <v/>
      </c>
      <c r="Y53" s="198" t="s">
        <v>93</v>
      </c>
      <c r="Z53" s="163">
        <f ca="1">rF1.WallThickness02/2+INDEX(rF1.SlabSpanPerpendicular,1,2)</f>
        <v>5.7125000000000004</v>
      </c>
      <c r="AA53" s="164">
        <f ca="1">rF1.WallThickness02/2+INDEX(rF1.SlabSpanPerpendicular,1,2)</f>
        <v>5.7125000000000004</v>
      </c>
      <c r="AB53" s="155"/>
      <c r="AC53" s="117"/>
      <c r="AD53" s="210" t="s">
        <v>93</v>
      </c>
      <c r="AE53" s="163">
        <f ca="1">IF(OR(rF1.FixedVergesNumber=0,rF1.FixedVergesNumber=1),0,-INDEX(rF1.WallLenght,1,2)/2)</f>
        <v>0</v>
      </c>
      <c r="AF53" s="186">
        <f ca="1">IF(OR(rF1.FixedVergesNumber=0,rF1.FixedVergesNumber=1),0,-INDEX(rF1.WallLenght,1,2)/2)</f>
        <v>0</v>
      </c>
      <c r="AJ53" s="178"/>
      <c r="AK53" s="118"/>
    </row>
    <row r="54" spans="5:40" ht="17.25" thickTop="1" thickBot="1" x14ac:dyDescent="0.25">
      <c r="K54" s="146" t="s">
        <v>230</v>
      </c>
      <c r="L54" s="146" t="s">
        <v>5</v>
      </c>
      <c r="M54" s="85">
        <v>0.2</v>
      </c>
      <c r="N54" s="86">
        <v>0.2</v>
      </c>
      <c r="O54" s="86">
        <v>0.25</v>
      </c>
      <c r="P54" s="87">
        <v>0.2</v>
      </c>
      <c r="Q54" s="131"/>
      <c r="S54" s="155"/>
      <c r="T54" s="166"/>
      <c r="U54" s="167" t="s">
        <v>94</v>
      </c>
      <c r="V54" s="168">
        <f ca="1">IF(OR(rF1.CheckWoodenSlab02,rF1.CheckBendingMomentSlabTop,INDEX(rF1.DesignTotalLineLoad,1,2)=0,INDEX(rF1.PositioningLineLoad,1,2)=0),-5,rF1.PlotHeightFirstFloor+IF(rF1.CheckSlabExisting03,MAX(INDEX(rF1.SlabThickness,1,1),INDEX(rF1.SlabThickness,1,3)),INDEX(rF1.SlabThickness,1,1))+rF1.WallHeight02+INDEX(rF1.SlabThickness,1,2)+INDEX(rF1.DesignTotalLineLoad,1,2)*rF1.PlotFactorLineLoad)</f>
        <v>-5</v>
      </c>
      <c r="W54" s="168">
        <f ca="1">IF(OR(rF1.CheckWoodenSlab02,rF1.CheckBendingMomentSlabTop,INDEX(rF1.DesignTotalLineLoad,1,2)=0,INDEX(rF1.PositioningLineLoad,1,2)=0),-5,rF1.PlotHeightFirstFloor+IF(rF1.CheckSlabExisting03,MAX(INDEX(rF1.SlabThickness,1,1),INDEX(rF1.SlabThickness,1,3)),INDEX(rF1.SlabThickness,1,1))+rF1.WallHeight02+INDEX(rF1.SlabThickness,1,2))</f>
        <v>-5</v>
      </c>
      <c r="X54" s="168"/>
      <c r="Y54" s="191" t="s">
        <v>94</v>
      </c>
      <c r="Z54" s="168">
        <f ca="1">IF(INDEX(rF1.SlabBearingType,1,2)=rP1.CheckwordFixed,rF1.PlotHeightFirstFloor+IF(rF1.CheckSlabExisting03,MAX(INDEX(rF1.SlabThickness,1,1),INDEX(rF1.SlabThickness,1,3)),INDEX(rF1.SlabThickness,1,1))+rF1.WallHeight02,-5)</f>
        <v>5.3450000000000006</v>
      </c>
      <c r="AA54" s="169">
        <f ca="1">IF(OR(INDEX(rF1.SlabBearingType,1,2)=rP1.CheckwordHinged,rF1.CheckWoodenSlab02=1),rF1.PlotHeightFirstFloor+IF(rF1.CheckSlabExisting03,MAX(INDEX(rF1.SlabThickness,1,1),INDEX(rF1.SlabThickness,1,3)),INDEX(rF1.SlabThickness,1,1))+rF1.WallHeight02,-5)</f>
        <v>-5</v>
      </c>
      <c r="AB54" s="165"/>
      <c r="AD54" s="211" t="s">
        <v>94</v>
      </c>
      <c r="AE54" s="168">
        <f ca="1">IF(OR(rF1.FixedVergesNumber=0,rF1.FixedVergesNumber=1),0,rF1.PlotHeightFirstFloor+IF(rF1.CheckSlabExisting03,MAX(INDEX(rF1.SlabThickness,1,1),INDEX(rF1.SlabThickness,1,3)),INDEX(rF1.SlabThickness,1,1)))</f>
        <v>0</v>
      </c>
      <c r="AF54" s="190">
        <f ca="1">IF(OR(rF1.FixedVergesNumber=0,rF1.FixedVergesNumber=1),0,rF1.PlotHeightFirstFloor+IF(rF1.CheckSlabExisting03,MAX(INDEX(rF1.SlabThickness,1,1),INDEX(rF1.SlabThickness,1,3)),INDEX(rF1.SlabThickness,1,1))+rF1.WallHeight02)</f>
        <v>0</v>
      </c>
      <c r="AJ54" s="178"/>
      <c r="AK54" s="118"/>
    </row>
    <row r="55" spans="5:40" ht="15.75" thickTop="1" thickBot="1" x14ac:dyDescent="0.25">
      <c r="K55" s="185" t="s">
        <v>231</v>
      </c>
      <c r="L55" s="185"/>
      <c r="M55" s="199"/>
      <c r="N55" s="200"/>
      <c r="O55" s="200"/>
      <c r="P55" s="201"/>
      <c r="Q55" s="129"/>
      <c r="S55" s="155"/>
      <c r="T55" s="158" t="str">
        <f ca="1">IF(rF1.CheckSlabExisting03=0,"",rP2.OutputSlab03)</f>
        <v/>
      </c>
      <c r="U55" s="162" t="s">
        <v>93</v>
      </c>
      <c r="V55" s="163">
        <f>-INDEX(rF1.PositioningLineLoad,1,3)</f>
        <v>0</v>
      </c>
      <c r="W55" s="163">
        <f>-INDEX(rF1.PositioningLineLoad,1,3)</f>
        <v>0</v>
      </c>
      <c r="X55" s="208" t="str">
        <f ca="1">IF(OR(rF1.CheckWoodenSlab03,rF1.CheckBendingMomentSlabBottom,rF1.CheckSlabExisting03=0,INDEX(rF1.DesignTotalLineLoad,1,3)=0,INDEX(rF1.PositioningLineLoad,1,3)=0),"",INDEX(rF1.DesignTotalLineLoad,1,3))</f>
        <v/>
      </c>
      <c r="Y55" s="209" t="s">
        <v>93</v>
      </c>
      <c r="Z55" s="118">
        <f ca="1">IF(rF1.CheckSlabExisting03=0,0,-rF1.WallThickness02/2-INDEX(rF1.SlabSpanPerpendicular,1,3))</f>
        <v>0</v>
      </c>
      <c r="AA55" s="178">
        <f ca="1">IF(rF1.CheckSlabExisting03=0,0,-rF1.WallThickness02/2-INDEX(rF1.SlabSpanPerpendicular,1,3))</f>
        <v>0</v>
      </c>
      <c r="AB55" s="165"/>
      <c r="AJ55" s="178"/>
      <c r="AK55" s="118"/>
    </row>
    <row r="56" spans="5:40" ht="15" thickTop="1" x14ac:dyDescent="0.2">
      <c r="K56" s="216" t="s">
        <v>569</v>
      </c>
      <c r="L56" s="216"/>
      <c r="M56" s="216"/>
      <c r="N56" s="216"/>
      <c r="O56" s="216"/>
      <c r="P56" s="216"/>
      <c r="Q56" s="217"/>
      <c r="S56" s="155"/>
      <c r="T56" s="166"/>
      <c r="U56" s="167" t="s">
        <v>94</v>
      </c>
      <c r="V56" s="168">
        <f ca="1">IF(OR(rF1.CheckWoodenSlab03,rF1.CheckBendingMomentSlabBottom,rF1.CheckSlabExisting03=0,INDEX(rF1.DesignTotalLineLoad,1,3)=0,INDEX(rF1.PositioningLineLoad,1,3)=0),-5,rF1.PlotHeightFirstFloor+INDEX(rF1.SlabThickness,1,3)+INDEX(rF1.DesignTotalLineLoad,1,3)*rF1.PlotFactorLineLoad)</f>
        <v>-5</v>
      </c>
      <c r="W56" s="168">
        <f ca="1">IF(OR(rF1.CheckWoodenSlab03,rF1.CheckBendingMomentSlabBottom,rF1.CheckSlabExisting03=0,INDEX(rF1.DesignTotalLineLoad,1,3)=0,INDEX(rF1.PositioningLineLoad,1,3)=0),-5,rF1.PlotHeightFirstFloor+INDEX(rF1.SlabThickness,1,3))</f>
        <v>-5</v>
      </c>
      <c r="X56" s="190"/>
      <c r="Y56" s="191" t="s">
        <v>94</v>
      </c>
      <c r="Z56" s="168">
        <f ca="1">IF(AND(rF1.CheckBasePlate=0,rF1.CheckSlabExisting03,INDEX(rF1.SlabBearingType,1,3)=rP1.CheckwordFixed),rF1.PlotHeightFirstFloor,-5)</f>
        <v>-5</v>
      </c>
      <c r="AA56" s="169">
        <f ca="1">IF(AND(rF1.CheckBasePlate=0,rF1.CheckSlabExisting03,OR(INDEX(rF1.SlabBearingType,1,3)=rP1.CheckwordHinged,rF1.CheckWoodenSlab03=1)),rF1.PlotHeightFirstFloor,-5)</f>
        <v>-5</v>
      </c>
      <c r="AB56" s="165"/>
      <c r="AJ56" s="178"/>
      <c r="AK56" s="118"/>
    </row>
    <row r="57" spans="5:40" x14ac:dyDescent="0.2">
      <c r="K57" s="142" t="s">
        <v>232</v>
      </c>
      <c r="L57" s="142"/>
      <c r="M57" s="143" t="s">
        <v>255</v>
      </c>
      <c r="N57" s="143" t="s">
        <v>256</v>
      </c>
      <c r="O57" s="143" t="s">
        <v>257</v>
      </c>
      <c r="P57" s="143" t="s">
        <v>258</v>
      </c>
      <c r="Q57" s="192"/>
      <c r="S57" s="155"/>
      <c r="T57" s="158" t="str">
        <f ca="1">IF(rF1.CheckSlabExisting04=0,"",rP2.OutputSlab04)</f>
        <v>Decke 4</v>
      </c>
      <c r="U57" s="162" t="s">
        <v>93</v>
      </c>
      <c r="V57" s="163">
        <f>-INDEX(rF1.PositioningLineLoad,1,4)</f>
        <v>-2</v>
      </c>
      <c r="W57" s="163">
        <f>-INDEX(rF1.PositioningLineLoad,1,4)</f>
        <v>-2</v>
      </c>
      <c r="X57" s="208">
        <f ca="1">IF(OR(rF1.CheckWoodenSlab04,rF1.CheckBendingMomentSlabTop,rF1.CheckSlabExisting04=0,INDEX(rF1.DesignTotalLineLoad,1,4)=0,INDEX(rF1.PositioningLineLoad,1,4)=0),"",INDEX(rF1.DesignTotalLineLoad,1,4))</f>
        <v>1</v>
      </c>
      <c r="Y57" s="198" t="s">
        <v>93</v>
      </c>
      <c r="Z57" s="163">
        <f ca="1">IF(rF1.CheckSlabExisting04=0,0,-rF1.WallThickness02/2-INDEX(rF1.SlabSpanPerpendicular,1,4))</f>
        <v>-2.2124999999999999</v>
      </c>
      <c r="AA57" s="164">
        <f ca="1">IF(rF1.CheckSlabExisting04=0,0,-rF1.WallThickness02/2-INDEX(rF1.SlabSpanPerpendicular,1,4))</f>
        <v>-2.2124999999999999</v>
      </c>
      <c r="AB57" s="165"/>
      <c r="AJ57" s="178"/>
      <c r="AK57" s="118"/>
    </row>
    <row r="58" spans="5:40" ht="16.5" thickBot="1" x14ac:dyDescent="0.25">
      <c r="K58" s="218" t="s">
        <v>233</v>
      </c>
      <c r="L58" s="146" t="s">
        <v>6</v>
      </c>
      <c r="M58" s="373">
        <v>9.25</v>
      </c>
      <c r="N58" s="374">
        <v>9.25</v>
      </c>
      <c r="O58" s="374">
        <v>8</v>
      </c>
      <c r="P58" s="375">
        <v>7.43</v>
      </c>
      <c r="Q58" s="131"/>
      <c r="S58" s="219"/>
      <c r="T58" s="220"/>
      <c r="U58" s="221" t="s">
        <v>94</v>
      </c>
      <c r="V58" s="222">
        <f ca="1">IF(OR(rF1.CheckWoodenSlab04,rF1.CheckBendingMomentSlabTop,rF1.CheckSlabExisting04=0,INDEX(rF1.DesignTotalLineLoad,1,4)=0,INDEX(rF1.PositioningLineLoad,1,4)=0),-5,rF1.PlotHeightFirstFloor+IF(rF1.CheckSlabExisting03,MAX(INDEX(rF1.SlabThickness,1,1),INDEX(rF1.SlabThickness,1,3)),INDEX(rF1.SlabThickness,1,1))+rF1.WallHeight02+INDEX(rF1.SlabThickness,1,4)+INDEX(rF1.DesignTotalLineLoad,1,4)*rF1.PlotFactorLineLoad)</f>
        <v>5.5950000000000006</v>
      </c>
      <c r="W58" s="222">
        <f ca="1">IF(OR(rF1.CheckWoodenSlab04,rF1.CheckBendingMomentSlabTop,rF1.CheckSlabExisting04=0,INDEX(rF1.DesignTotalLineLoad,1,4)=0,INDEX(rF1.PositioningLineLoad,1,4)=0),-5,rF1.PlotHeightFirstFloor+IF(rF1.CheckSlabExisting03,MAX(INDEX(rF1.SlabThickness,1,1),INDEX(rF1.SlabThickness,1,3)),INDEX(rF1.SlabThickness,1,1))+rF1.WallHeight02+INDEX(rF1.SlabThickness,1,4))</f>
        <v>5.5450000000000008</v>
      </c>
      <c r="X58" s="223"/>
      <c r="Y58" s="224" t="s">
        <v>94</v>
      </c>
      <c r="Z58" s="222">
        <f ca="1">IF(AND(rF1.CheckSlabExisting04,INDEX(rF1.SlabBearingType,1,4)=rP1.CheckwordFixed),rF1.PlotHeightFirstFloor+IF(rF1.CheckSlabExisting03,MAX(INDEX(rF1.SlabThickness,1,1),INDEX(rF1.SlabThickness,1,3)),INDEX(rF1.SlabThickness,1,1))+rF1.WallHeight02,-5)</f>
        <v>-5</v>
      </c>
      <c r="AA58" s="225">
        <f ca="1">IF(AND(rF1.CheckSlabExisting04,OR(INDEX(rF1.SlabBearingType,1,4)=rP1.CheckwordHinged,rF1.CheckWoodenSlab04=1)),rF1.PlotHeightFirstFloor+IF(rF1.CheckSlabExisting03,MAX(INDEX(rF1.SlabThickness,1,1),INDEX(rF1.SlabThickness,1,3)),INDEX(rF1.SlabThickness,1,1))+rF1.WallHeight02,-5)</f>
        <v>-5</v>
      </c>
      <c r="AB58" s="226"/>
      <c r="AC58" s="222"/>
      <c r="AD58" s="222"/>
      <c r="AE58" s="222"/>
      <c r="AF58" s="222"/>
      <c r="AG58" s="222"/>
      <c r="AH58" s="222"/>
      <c r="AI58" s="222"/>
      <c r="AJ58" s="225"/>
      <c r="AK58" s="118"/>
    </row>
    <row r="59" spans="5:40" ht="17.25" thickTop="1" thickBot="1" x14ac:dyDescent="0.25">
      <c r="K59" s="227" t="s">
        <v>234</v>
      </c>
      <c r="L59" s="185" t="s">
        <v>7</v>
      </c>
      <c r="M59" s="376">
        <v>4.05</v>
      </c>
      <c r="N59" s="377">
        <v>2.0299999999999998</v>
      </c>
      <c r="O59" s="377">
        <v>0</v>
      </c>
      <c r="P59" s="378">
        <v>6</v>
      </c>
      <c r="Q59" s="129"/>
      <c r="AJ59" s="118"/>
    </row>
    <row r="60" spans="5:40" ht="16.5" thickTop="1" x14ac:dyDescent="0.2">
      <c r="K60" s="218" t="s">
        <v>235</v>
      </c>
      <c r="L60" s="146"/>
      <c r="M60" s="228">
        <f>rF1.DeadLoadDesign+rF1.LiveLoadDesign</f>
        <v>13.3</v>
      </c>
      <c r="N60" s="228">
        <f>rF1.DeadLoadDesign+rF1.LiveLoadDesign</f>
        <v>11.28</v>
      </c>
      <c r="O60" s="228">
        <f>rF1.DeadLoadDesign+rF1.LiveLoadDesign</f>
        <v>8</v>
      </c>
      <c r="P60" s="228">
        <f>rF1.DeadLoadDesign+rF1.LiveLoadDesign</f>
        <v>13.43</v>
      </c>
      <c r="Q60" s="131"/>
      <c r="S60" s="149" t="s">
        <v>118</v>
      </c>
      <c r="T60" s="229"/>
      <c r="U60" s="229"/>
      <c r="V60" s="229"/>
      <c r="W60" s="229"/>
      <c r="X60" s="229"/>
      <c r="Y60" s="229"/>
      <c r="Z60" s="151"/>
      <c r="AA60" s="151"/>
      <c r="AB60" s="151"/>
      <c r="AC60" s="230" t="s">
        <v>137</v>
      </c>
      <c r="AD60" s="231" t="s">
        <v>95</v>
      </c>
      <c r="AE60" s="232" t="s">
        <v>94</v>
      </c>
      <c r="AF60" s="151"/>
      <c r="AG60" s="151"/>
      <c r="AH60" s="151"/>
      <c r="AI60" s="151"/>
      <c r="AJ60" s="152"/>
      <c r="AK60" s="118"/>
    </row>
    <row r="61" spans="5:40" ht="15" thickBot="1" x14ac:dyDescent="0.25">
      <c r="K61" s="142" t="s">
        <v>236</v>
      </c>
      <c r="L61" s="142"/>
      <c r="M61" s="143" t="s">
        <v>255</v>
      </c>
      <c r="N61" s="143" t="s">
        <v>256</v>
      </c>
      <c r="O61" s="143" t="s">
        <v>257</v>
      </c>
      <c r="P61" s="143" t="s">
        <v>258</v>
      </c>
      <c r="Q61" s="192"/>
      <c r="S61" s="155"/>
      <c r="AC61" s="233"/>
      <c r="AD61" s="198">
        <v>0</v>
      </c>
      <c r="AE61" s="186">
        <v>0</v>
      </c>
      <c r="AJ61" s="178"/>
    </row>
    <row r="62" spans="5:40" ht="15.75" thickTop="1" thickBot="1" x14ac:dyDescent="0.25">
      <c r="K62" s="234" t="s">
        <v>237</v>
      </c>
      <c r="L62" s="235"/>
      <c r="M62" s="379">
        <v>0</v>
      </c>
      <c r="N62" s="379">
        <v>0</v>
      </c>
      <c r="O62" s="379">
        <v>0</v>
      </c>
      <c r="P62" s="379">
        <v>1</v>
      </c>
      <c r="Q62" s="236"/>
      <c r="S62" s="155"/>
      <c r="AC62" s="233"/>
      <c r="AD62" s="209">
        <f ca="1">IF(rF1.CheckWoodenSlabCalc,0,rF1.MomentWindBottom)</f>
        <v>-0.67161840000000006</v>
      </c>
      <c r="AE62" s="204">
        <v>0</v>
      </c>
      <c r="AJ62" s="178"/>
    </row>
    <row r="63" spans="5:40" ht="15.75" thickTop="1" thickBot="1" x14ac:dyDescent="0.25">
      <c r="K63" s="227" t="s">
        <v>238</v>
      </c>
      <c r="L63" s="185"/>
      <c r="M63" s="379">
        <v>0</v>
      </c>
      <c r="N63" s="379">
        <v>0</v>
      </c>
      <c r="O63" s="379">
        <v>0</v>
      </c>
      <c r="P63" s="379">
        <v>0</v>
      </c>
      <c r="Q63" s="129"/>
      <c r="S63" s="155"/>
      <c r="T63" s="156" t="s">
        <v>196</v>
      </c>
      <c r="U63" s="157"/>
      <c r="V63" s="237">
        <v>0</v>
      </c>
      <c r="W63" s="237">
        <v>1</v>
      </c>
      <c r="X63" s="237">
        <v>2</v>
      </c>
      <c r="Y63" s="157">
        <v>3</v>
      </c>
      <c r="AC63" s="238">
        <v>1</v>
      </c>
      <c r="AD63" s="209">
        <f t="shared" ref="AD63:AD82" ca="1" si="0">IF(rF1.CheckWoodenSlabCalc,0,rF1.MomentWindBottom+(rF1.MomentWindTop-rF1.MomentWindBottom)/MAX(rF1.PlotMomentDotsWind)*rF1.PlotMomentDotsWind+ABS(rF1.WindLoadDesign)/2*(rF1.WallHeight02*rF1.PlotHeightDotsWind-rF1.PlotHeightDotsWind^2)*MAX(rF1.SlabInfluenceWidth)/rF1.WallLenght02)</f>
        <v>-0.41640340800000009</v>
      </c>
      <c r="AE63" s="204">
        <f t="shared" ref="AE63:AE82" si="1">rF1.WallHeight02*(rF1.PlotMomentDotsWind)/MAX(rF1.PlotMomentDotsWind)</f>
        <v>0.13225000000000001</v>
      </c>
      <c r="AJ63" s="178"/>
    </row>
    <row r="64" spans="5:40" ht="15.75" thickTop="1" thickBot="1" x14ac:dyDescent="0.25">
      <c r="K64" s="227" t="s">
        <v>239</v>
      </c>
      <c r="L64" s="185"/>
      <c r="M64" s="239">
        <f>rF1.DesignLineDeadLoad+rF1.DesignLineLiveLoad</f>
        <v>0</v>
      </c>
      <c r="N64" s="239">
        <f>rF1.DesignLineDeadLoad+rF1.DesignLineLiveLoad</f>
        <v>0</v>
      </c>
      <c r="O64" s="239">
        <f>rF1.DesignLineDeadLoad+rF1.DesignLineLiveLoad</f>
        <v>0</v>
      </c>
      <c r="P64" s="239">
        <f>rF1.DesignLineDeadLoad+rF1.DesignLineLiveLoad</f>
        <v>1</v>
      </c>
      <c r="Q64" s="129"/>
      <c r="S64" s="155"/>
      <c r="T64" s="240"/>
      <c r="U64" s="241" t="s">
        <v>95</v>
      </c>
      <c r="V64" s="242">
        <v>0</v>
      </c>
      <c r="W64" s="242">
        <f ca="1">IF(rF1.CheckWoodenSlabCalc,0,rF1.BendingMomentDecBottom)</f>
        <v>1.7886123173445154</v>
      </c>
      <c r="X64" s="242">
        <f ca="1">IF(rF1.CheckWoodenSlabCalc,0,rF1.BendingMomentDecTop)</f>
        <v>4.5065631134034625</v>
      </c>
      <c r="Y64" s="243">
        <v>0</v>
      </c>
      <c r="AC64" s="238">
        <v>2</v>
      </c>
      <c r="AD64" s="209">
        <f t="shared" ca="1" si="0"/>
        <v>-0.188053152</v>
      </c>
      <c r="AE64" s="204">
        <f t="shared" si="1"/>
        <v>0.26450000000000001</v>
      </c>
      <c r="AJ64" s="178"/>
    </row>
    <row r="65" spans="5:36" ht="15.75" thickTop="1" thickBot="1" x14ac:dyDescent="0.25">
      <c r="E65" s="145">
        <f ca="1">INDEX(rF1.SlabSpanPerpendicular,1,1)+MAX(INDEX(rF1.WallThickness,1,1),rF1.WallThickness02)/2</f>
        <v>5.7125000000000004</v>
      </c>
      <c r="F65" s="145">
        <f ca="1">INDEX(rF1.SlabSpanPerpendicular,1,2)+MAX(INDEX(rF1.WallThickness,1,3),rF1.WallThickness02)/2</f>
        <v>5.7125000000000004</v>
      </c>
      <c r="G65" s="145">
        <f ca="1">INDEX(rF1.SlabSpanPerpendicular,1,3)+MAX(INDEX(rF1.WallThickness,1,1),rF1.WallThickness02)/2</f>
        <v>5.2125000000000004</v>
      </c>
      <c r="H65" s="145">
        <f ca="1">INDEX(rF1.SlabSpanPerpendicular,1,4)+MAX(INDEX(rF1.WallThickness,1,3),rF1.WallThickness02)/2</f>
        <v>2.2124999999999999</v>
      </c>
      <c r="K65" s="244" t="s">
        <v>240</v>
      </c>
      <c r="L65" s="187"/>
      <c r="M65" s="86">
        <v>0</v>
      </c>
      <c r="N65" s="86">
        <v>0</v>
      </c>
      <c r="O65" s="86">
        <v>0</v>
      </c>
      <c r="P65" s="86">
        <v>2</v>
      </c>
      <c r="Q65" s="153"/>
      <c r="S65" s="155"/>
      <c r="T65" s="166"/>
      <c r="U65" s="167" t="s">
        <v>94</v>
      </c>
      <c r="V65" s="245">
        <v>0</v>
      </c>
      <c r="W65" s="245">
        <v>0</v>
      </c>
      <c r="X65" s="245">
        <f>rF1.WallHeight02</f>
        <v>2.645</v>
      </c>
      <c r="Y65" s="246">
        <f>rF1.WallHeight02</f>
        <v>2.645</v>
      </c>
      <c r="AC65" s="238">
        <v>3</v>
      </c>
      <c r="AD65" s="209">
        <f t="shared" ca="1" si="0"/>
        <v>1.3432368000000028E-2</v>
      </c>
      <c r="AE65" s="204">
        <f t="shared" si="1"/>
        <v>0.39675000000000005</v>
      </c>
      <c r="AJ65" s="178"/>
    </row>
    <row r="66" spans="5:36" ht="15.75" thickTop="1" thickBot="1" x14ac:dyDescent="0.25">
      <c r="K66" s="142" t="s">
        <v>241</v>
      </c>
      <c r="L66" s="142"/>
      <c r="M66" s="143" t="s">
        <v>259</v>
      </c>
      <c r="N66" s="143" t="s">
        <v>260</v>
      </c>
      <c r="O66" s="143" t="s">
        <v>261</v>
      </c>
      <c r="P66" s="143" t="s">
        <v>473</v>
      </c>
      <c r="Q66" s="247"/>
      <c r="S66" s="155"/>
      <c r="AC66" s="238">
        <v>4</v>
      </c>
      <c r="AD66" s="209">
        <f t="shared" ca="1" si="0"/>
        <v>0.18805315199999995</v>
      </c>
      <c r="AE66" s="204">
        <f t="shared" si="1"/>
        <v>0.52900000000000003</v>
      </c>
      <c r="AJ66" s="178"/>
    </row>
    <row r="67" spans="5:36" ht="17.25" thickTop="1" thickBot="1" x14ac:dyDescent="0.25">
      <c r="K67" s="235" t="s">
        <v>242</v>
      </c>
      <c r="L67" s="235" t="s">
        <v>62</v>
      </c>
      <c r="M67" s="396">
        <v>675.28</v>
      </c>
      <c r="N67" s="397">
        <v>290.2</v>
      </c>
      <c r="O67" s="398">
        <f>rF1.WallAxForceDeadTop+rF1.WallAxForceLiveTop</f>
        <v>965.48</v>
      </c>
      <c r="P67" s="252">
        <f>(rF1.WallAxForceDeadTop+rF1.WallAxForceLiveTop)/rF1.WallLenght02</f>
        <v>482.74</v>
      </c>
      <c r="Q67" s="236"/>
      <c r="S67" s="249"/>
      <c r="T67" s="158" t="s">
        <v>119</v>
      </c>
      <c r="U67" s="162" t="s">
        <v>93</v>
      </c>
      <c r="V67" s="250">
        <f ca="1">IF(AND(rF1.BendingMomentDecBottom=0,rF1.BendingMomentDecTop=0),1,MAX(ABS(rF1.BendingMomentDecBottom),ABS(rF1.BendingMomentDecTop),0.5)*rF1.PlotOutlineFactor02)</f>
        <v>5.1825475804139813</v>
      </c>
      <c r="W67" s="251">
        <f ca="1">-IF(AND(rF1.BendingMomentDecBottom=0,rF1.BendingMomentDecTop=0),1,MAX(ABS(rF1.BendingMomentDecBottom),ABS(rF1.BendingMomentDecTop),0.5)*rF1.PlotOutlineFactor02)</f>
        <v>-5.1825475804139813</v>
      </c>
      <c r="AC67" s="238">
        <v>5</v>
      </c>
      <c r="AD67" s="209">
        <f t="shared" ca="1" si="0"/>
        <v>0.33580920000000014</v>
      </c>
      <c r="AE67" s="204">
        <f t="shared" si="1"/>
        <v>0.66125</v>
      </c>
      <c r="AJ67" s="178"/>
    </row>
    <row r="68" spans="5:36" ht="17.25" thickTop="1" thickBot="1" x14ac:dyDescent="0.25">
      <c r="K68" s="146" t="s">
        <v>243</v>
      </c>
      <c r="L68" s="146" t="s">
        <v>33</v>
      </c>
      <c r="M68" s="392">
        <v>700</v>
      </c>
      <c r="N68" s="393">
        <v>250</v>
      </c>
      <c r="O68" s="254">
        <f ca="1">IF(rF1.CheckAxForceCalculation,(rF1.WallAxForceDeadTop+rF1.WallAxForceLiveTop+rF1.WallAxForceDeadCalcBottom)/2,rF1.WallAxForceDeadMiddleInput+rF1.WallAxForceLiveMiddleInput)</f>
        <v>980.63006736875002</v>
      </c>
      <c r="P68" s="252">
        <f ca="1">rF1.WallAxForceDeadCalcMiddle/rF1.WallLenght02</f>
        <v>490.31503368437501</v>
      </c>
      <c r="Q68" s="131"/>
      <c r="S68" s="202" t="s">
        <v>123</v>
      </c>
      <c r="T68" s="189">
        <v>1.1499999999999999</v>
      </c>
      <c r="U68" s="167" t="s">
        <v>94</v>
      </c>
      <c r="V68" s="253">
        <f>rF1.WallHeight02</f>
        <v>2.645</v>
      </c>
      <c r="W68" s="246">
        <f>rF1.WallHeight02</f>
        <v>2.645</v>
      </c>
      <c r="AC68" s="238">
        <v>6</v>
      </c>
      <c r="AD68" s="209">
        <f t="shared" ca="1" si="0"/>
        <v>0.45670051199999984</v>
      </c>
      <c r="AE68" s="204">
        <f t="shared" si="1"/>
        <v>0.79350000000000009</v>
      </c>
      <c r="AJ68" s="178"/>
    </row>
    <row r="69" spans="5:36" ht="15" customHeight="1" thickTop="1" thickBot="1" x14ac:dyDescent="0.25">
      <c r="K69" s="185" t="s">
        <v>244</v>
      </c>
      <c r="L69" s="185" t="s">
        <v>34</v>
      </c>
      <c r="M69" s="394">
        <v>700</v>
      </c>
      <c r="N69" s="393">
        <v>250</v>
      </c>
      <c r="O69" s="255">
        <f ca="1">IF(rF1.CheckAxForceCalculation,rF1.WallAxForceDeadTop+rF1.WallAxForceLiveTop+rF1.WallHeight02*rF1.WallWeight02*rF1.WallLenght02*rP1.Gravitation*rF1.SafetyFactorDeadLoad/1000,rF1.WallAxForceDeadBottomInput+rF1.WallAxForceLiveBottomInput)</f>
        <v>995.78013473750002</v>
      </c>
      <c r="P69" s="256">
        <f ca="1">rF1.WallAxForceDeadCalcBottom/rF1.WallLenght02</f>
        <v>497.89006736875001</v>
      </c>
      <c r="Q69" s="129"/>
      <c r="S69" s="155"/>
      <c r="AC69" s="238">
        <v>7</v>
      </c>
      <c r="AD69" s="209">
        <f t="shared" ca="1" si="0"/>
        <v>0.55072708799999992</v>
      </c>
      <c r="AE69" s="204">
        <f t="shared" si="1"/>
        <v>0.92575000000000007</v>
      </c>
      <c r="AJ69" s="178"/>
    </row>
    <row r="70" spans="5:36" ht="15" customHeight="1" thickTop="1" x14ac:dyDescent="0.2">
      <c r="G70" s="64" t="b">
        <v>1</v>
      </c>
      <c r="H70" s="212">
        <f ca="1">OFFSET(rD4.SafetyFactorDeadLoadList,rF1.SafetyFactorDeadLoadSelection-1,0,1,1)</f>
        <v>1.35</v>
      </c>
      <c r="K70" s="146"/>
      <c r="L70" s="146"/>
      <c r="M70" s="257"/>
      <c r="N70" s="257"/>
      <c r="O70" s="258" t="str">
        <f>rP2.OutputSafetyFacotrWall</f>
        <v>Teilsicherheitsbeiwert für Eigengewicht Wand =</v>
      </c>
      <c r="P70" s="258"/>
      <c r="Q70" s="131"/>
      <c r="S70" s="155"/>
      <c r="T70" s="158" t="s">
        <v>117</v>
      </c>
      <c r="U70" s="162" t="s">
        <v>93</v>
      </c>
      <c r="V70" s="250">
        <v>0</v>
      </c>
      <c r="W70" s="251">
        <v>0</v>
      </c>
      <c r="AC70" s="238">
        <v>8</v>
      </c>
      <c r="AD70" s="209">
        <f t="shared" ca="1" si="0"/>
        <v>0.61788892799999995</v>
      </c>
      <c r="AE70" s="204">
        <f t="shared" si="1"/>
        <v>1.0580000000000001</v>
      </c>
      <c r="AJ70" s="178"/>
    </row>
    <row r="71" spans="5:36" ht="15" customHeight="1" thickBot="1" x14ac:dyDescent="0.25">
      <c r="K71" s="142" t="s">
        <v>570</v>
      </c>
      <c r="L71" s="142"/>
      <c r="M71" s="143"/>
      <c r="N71" s="143"/>
      <c r="O71" s="143"/>
      <c r="P71" s="143"/>
      <c r="Q71" s="192"/>
      <c r="S71" s="155"/>
      <c r="T71" s="191"/>
      <c r="U71" s="167" t="s">
        <v>94</v>
      </c>
      <c r="V71" s="253">
        <v>0</v>
      </c>
      <c r="W71" s="246">
        <f>rF1.WallHeight02</f>
        <v>2.645</v>
      </c>
      <c r="AC71" s="238">
        <v>9</v>
      </c>
      <c r="AD71" s="209">
        <f t="shared" ca="1" si="0"/>
        <v>0.65818603199999992</v>
      </c>
      <c r="AE71" s="204">
        <f t="shared" si="1"/>
        <v>1.19025</v>
      </c>
      <c r="AJ71" s="178"/>
    </row>
    <row r="72" spans="5:36" ht="17.25" thickTop="1" thickBot="1" x14ac:dyDescent="0.25">
      <c r="K72" s="187" t="s">
        <v>245</v>
      </c>
      <c r="L72" s="187" t="s">
        <v>35</v>
      </c>
      <c r="M72" s="104">
        <v>0.96</v>
      </c>
      <c r="N72" s="260" t="s">
        <v>574</v>
      </c>
      <c r="O72" s="153"/>
      <c r="P72" s="261" t="s">
        <v>483</v>
      </c>
      <c r="Q72" s="153"/>
      <c r="S72" s="155"/>
      <c r="AC72" s="238">
        <v>10</v>
      </c>
      <c r="AD72" s="209">
        <f t="shared" ca="1" si="0"/>
        <v>0.67161840000000006</v>
      </c>
      <c r="AE72" s="204">
        <f t="shared" si="1"/>
        <v>1.3225</v>
      </c>
      <c r="AJ72" s="178"/>
    </row>
    <row r="73" spans="5:36" ht="15" customHeight="1" thickTop="1" x14ac:dyDescent="0.2">
      <c r="K73" s="137" t="s">
        <v>469</v>
      </c>
      <c r="L73" s="138"/>
      <c r="M73" s="138"/>
      <c r="N73" s="138"/>
      <c r="O73" s="138"/>
      <c r="P73" s="138"/>
      <c r="Q73" s="138"/>
      <c r="S73" s="155"/>
      <c r="AC73" s="238">
        <v>11</v>
      </c>
      <c r="AD73" s="209">
        <f t="shared" ca="1" si="0"/>
        <v>0.65818603199999992</v>
      </c>
      <c r="AE73" s="204">
        <f t="shared" si="1"/>
        <v>1.45475</v>
      </c>
      <c r="AJ73" s="259"/>
    </row>
    <row r="74" spans="5:36" ht="15" customHeight="1" x14ac:dyDescent="0.2">
      <c r="K74" s="140" t="s">
        <v>246</v>
      </c>
      <c r="L74" s="140"/>
      <c r="M74" s="262" t="s">
        <v>262</v>
      </c>
      <c r="N74" s="262" t="s">
        <v>263</v>
      </c>
      <c r="O74" s="262" t="s">
        <v>264</v>
      </c>
      <c r="P74" s="140"/>
      <c r="Q74" s="141"/>
      <c r="S74" s="155"/>
      <c r="AC74" s="238">
        <v>12</v>
      </c>
      <c r="AD74" s="209">
        <f t="shared" ca="1" si="0"/>
        <v>0.61788892799999995</v>
      </c>
      <c r="AE74" s="204">
        <f t="shared" si="1"/>
        <v>1.5870000000000002</v>
      </c>
      <c r="AJ74" s="259"/>
    </row>
    <row r="75" spans="5:36" ht="15" customHeight="1" x14ac:dyDescent="0.2">
      <c r="G75" s="145">
        <f ca="1">IF(OR(AND(rF1.CheckWoodenSlab01,rF1.CheckBendingMomentSlabBottom=FALSE),AND(rF1.CheckWoodenSlab02,rF1.CheckBendingMomentSlabTop=FALSE)),1,0)</f>
        <v>0</v>
      </c>
      <c r="K75" s="142" t="s">
        <v>247</v>
      </c>
      <c r="L75" s="142"/>
      <c r="M75" s="263" t="str">
        <f ca="1">IF(rF1.CheckWoodenSlabCalc,rP2.OutputEccentricityWoodenSlab,"")</f>
        <v/>
      </c>
      <c r="N75" s="143"/>
      <c r="O75" s="143"/>
      <c r="P75" s="143"/>
      <c r="Q75" s="192"/>
      <c r="S75" s="155"/>
      <c r="AC75" s="238">
        <v>13</v>
      </c>
      <c r="AD75" s="209">
        <f t="shared" ca="1" si="0"/>
        <v>0.55072708799999948</v>
      </c>
      <c r="AE75" s="204">
        <f t="shared" si="1"/>
        <v>1.7192499999999999</v>
      </c>
      <c r="AJ75" s="259"/>
    </row>
    <row r="76" spans="5:36" ht="15.75" x14ac:dyDescent="0.2">
      <c r="K76" s="146" t="s">
        <v>248</v>
      </c>
      <c r="L76" s="146" t="s">
        <v>107</v>
      </c>
      <c r="M76" s="264">
        <f>rF1.WallAxForceTop</f>
        <v>482.74</v>
      </c>
      <c r="N76" s="264">
        <f ca="1">rF1.WallAxForceMiddle</f>
        <v>490.31503368437501</v>
      </c>
      <c r="O76" s="264">
        <f ca="1">rF1.WallAxForceBottom</f>
        <v>497.89006736875001</v>
      </c>
      <c r="P76" s="265"/>
      <c r="Q76" s="265"/>
      <c r="S76" s="155"/>
      <c r="AC76" s="238">
        <v>14</v>
      </c>
      <c r="AD76" s="209">
        <f t="shared" ca="1" si="0"/>
        <v>0.45670051199999984</v>
      </c>
      <c r="AE76" s="204">
        <f t="shared" si="1"/>
        <v>1.8515000000000001</v>
      </c>
      <c r="AJ76" s="259"/>
    </row>
    <row r="77" spans="5:36" ht="15.75" x14ac:dyDescent="0.2">
      <c r="K77" s="266" t="s">
        <v>595</v>
      </c>
      <c r="L77" s="266" t="s">
        <v>596</v>
      </c>
      <c r="M77" s="267">
        <f ca="1">rF1.EccentricityTotalTop*rF1.WallAxForceTop</f>
        <v>5.9135650000000002</v>
      </c>
      <c r="N77" s="267">
        <f ca="1">rF1.EccentricityTotalMiddle*rF1.WallAxForceMiddle</f>
        <v>50.82952195606812</v>
      </c>
      <c r="O77" s="267">
        <f ca="1">rF1.EccentricityTotalBottom*rF1.WallAxForceBottom</f>
        <v>6.0991533252671877</v>
      </c>
      <c r="P77" s="268"/>
      <c r="Q77" s="268"/>
      <c r="S77" s="155"/>
      <c r="AC77" s="238">
        <v>15</v>
      </c>
      <c r="AD77" s="209">
        <f t="shared" ca="1" si="0"/>
        <v>0.33580920000000014</v>
      </c>
      <c r="AE77" s="204">
        <f t="shared" si="1"/>
        <v>1.9837499999999999</v>
      </c>
      <c r="AJ77" s="259"/>
    </row>
    <row r="78" spans="5:36" x14ac:dyDescent="0.2">
      <c r="K78" s="142" t="s">
        <v>249</v>
      </c>
      <c r="L78" s="142"/>
      <c r="M78" s="263" t="str">
        <f ca="1">IF(rF1.CheckWoodenSlabCalc,rP2.OutputEccentricityWoodenSlab,"")</f>
        <v/>
      </c>
      <c r="N78" s="143"/>
      <c r="O78" s="143"/>
      <c r="P78" s="143"/>
      <c r="Q78" s="192"/>
      <c r="R78" s="117"/>
      <c r="S78" s="155"/>
      <c r="AC78" s="238">
        <v>16</v>
      </c>
      <c r="AD78" s="209">
        <f t="shared" ca="1" si="0"/>
        <v>0.18805315199999995</v>
      </c>
      <c r="AE78" s="204">
        <f t="shared" si="1"/>
        <v>2.1160000000000001</v>
      </c>
      <c r="AJ78" s="259"/>
    </row>
    <row r="79" spans="5:36" ht="15.75" x14ac:dyDescent="0.2">
      <c r="K79" s="146" t="s">
        <v>554</v>
      </c>
      <c r="L79" s="146" t="s">
        <v>108</v>
      </c>
      <c r="M79" s="271">
        <f ca="1">rF1.EccentricityTotalTop</f>
        <v>1.225E-2</v>
      </c>
      <c r="N79" s="271">
        <f ca="1">rF1.EccentricityTotalMiddle</f>
        <v>0.1036670680360742</v>
      </c>
      <c r="O79" s="271">
        <f ca="1">rF1.EccentricityTotalBottom</f>
        <v>1.225E-2</v>
      </c>
      <c r="P79" s="265"/>
      <c r="Q79" s="265"/>
      <c r="R79" s="117"/>
      <c r="S79" s="155"/>
      <c r="AC79" s="238">
        <v>17</v>
      </c>
      <c r="AD79" s="209">
        <f t="shared" ca="1" si="0"/>
        <v>1.3432368000000472E-2</v>
      </c>
      <c r="AE79" s="204">
        <f t="shared" si="1"/>
        <v>2.2482500000000001</v>
      </c>
      <c r="AJ79" s="259"/>
    </row>
    <row r="80" spans="5:36" ht="15" customHeight="1" x14ac:dyDescent="0.2">
      <c r="K80" s="266" t="s">
        <v>250</v>
      </c>
      <c r="L80" s="272" t="s">
        <v>109</v>
      </c>
      <c r="M80" s="273">
        <f ca="1">rF1.ReductionEccentricityTop</f>
        <v>0.9</v>
      </c>
      <c r="N80" s="273">
        <f ca="1">rF1.ReductionEccentricityMiddle</f>
        <v>0.43449196441823712</v>
      </c>
      <c r="O80" s="273">
        <f ca="1">rF1.ReductionEccentricityBottom</f>
        <v>0.9</v>
      </c>
      <c r="P80" s="268"/>
      <c r="Q80" s="268"/>
      <c r="S80" s="155"/>
      <c r="W80" s="269"/>
      <c r="X80" s="158" t="s">
        <v>119</v>
      </c>
      <c r="Y80" s="162" t="s">
        <v>93</v>
      </c>
      <c r="Z80" s="250">
        <f ca="1">MAX(ABS(rF1.MomentWindTop),ABS(rF1.MomentWindMiddle),0.5)*rF1.PlotOutlineFactor03</f>
        <v>0.77236115999999999</v>
      </c>
      <c r="AA80" s="251">
        <f ca="1">-MAX(ABS(rF1.MomentWindTop),ABS(rF1.MomentWindMiddle),0.5)*rF1.PlotOutlineFactor03</f>
        <v>-0.77236115999999999</v>
      </c>
      <c r="AC80" s="238">
        <v>18</v>
      </c>
      <c r="AD80" s="209">
        <f t="shared" ca="1" si="0"/>
        <v>-0.18805315200000017</v>
      </c>
      <c r="AE80" s="204">
        <f t="shared" si="1"/>
        <v>2.3805000000000001</v>
      </c>
      <c r="AJ80" s="259"/>
    </row>
    <row r="81" spans="11:36" ht="15" customHeight="1" x14ac:dyDescent="0.2">
      <c r="K81" s="276" t="s">
        <v>251</v>
      </c>
      <c r="L81" s="276" t="s">
        <v>590</v>
      </c>
      <c r="M81" s="277">
        <f ca="1">rF1.AxResistanceTop</f>
        <v>649.74000000000012</v>
      </c>
      <c r="N81" s="277">
        <f ca="1">rF1.AxResistanceMiddle</f>
        <v>544.12877010643888</v>
      </c>
      <c r="O81" s="277">
        <f ca="1">rF1.AxResistanceBottom</f>
        <v>649.74000000000012</v>
      </c>
      <c r="P81" s="265"/>
      <c r="Q81" s="265"/>
      <c r="R81" s="117"/>
      <c r="S81" s="155"/>
      <c r="W81" s="270" t="s">
        <v>123</v>
      </c>
      <c r="X81" s="189">
        <v>1.1499999999999999</v>
      </c>
      <c r="Y81" s="167" t="s">
        <v>94</v>
      </c>
      <c r="Z81" s="253">
        <f>rF1.WallHeight02</f>
        <v>2.645</v>
      </c>
      <c r="AA81" s="246">
        <f>rF1.WallHeight02</f>
        <v>2.645</v>
      </c>
      <c r="AC81" s="238">
        <v>19</v>
      </c>
      <c r="AD81" s="209">
        <f t="shared" ca="1" si="0"/>
        <v>-0.41640340800000059</v>
      </c>
      <c r="AE81" s="204">
        <f t="shared" si="1"/>
        <v>2.51275</v>
      </c>
      <c r="AJ81" s="259"/>
    </row>
    <row r="82" spans="11:36" ht="15" customHeight="1" x14ac:dyDescent="0.2">
      <c r="K82" s="278" t="s">
        <v>252</v>
      </c>
      <c r="L82" s="279" t="s">
        <v>110</v>
      </c>
      <c r="M82" s="280">
        <f ca="1">rF1.LoadFactorTop</f>
        <v>0.74297411272201175</v>
      </c>
      <c r="N82" s="280">
        <f ca="1">rF1.LoadFactorMiddle</f>
        <v>0.90110110073478167</v>
      </c>
      <c r="O82" s="280">
        <f ca="1">rF1.LoadFactorBottom</f>
        <v>0.76629123552305523</v>
      </c>
      <c r="P82" s="281"/>
      <c r="Q82" s="281"/>
      <c r="R82" s="117"/>
      <c r="S82" s="155"/>
      <c r="AC82" s="238">
        <v>20</v>
      </c>
      <c r="AD82" s="209">
        <f t="shared" ca="1" si="0"/>
        <v>-0.67161840000000006</v>
      </c>
      <c r="AE82" s="204">
        <f t="shared" si="1"/>
        <v>2.645</v>
      </c>
      <c r="AJ82" s="259"/>
    </row>
    <row r="83" spans="11:36" ht="15" customHeight="1" thickBot="1" x14ac:dyDescent="0.25">
      <c r="K83" s="276"/>
      <c r="L83" s="282"/>
      <c r="M83" s="283" t="str">
        <f ca="1">IF(rF1.LoadFactorTop&lt;=1,rP2.OutputProofFulfilled,IF(rF1.LoadFactorTop&gt;1,rP2.OutputProofNotFulfilled,""))</f>
        <v>NEd &lt; NRd</v>
      </c>
      <c r="N83" s="283" t="str">
        <f ca="1">IF(rF1.LoadFactorMiddle&lt;=1,rP2.OutputProofFulfilled,IF(rF1.LoadFactorMiddle&gt;1,rP2.OutputProofNotFulfilled,""))</f>
        <v>NEd &lt; NRd</v>
      </c>
      <c r="O83" s="283" t="str">
        <f ca="1">IF(rF1.LoadFactorBottom&lt;=1,rP2.OutputProofFulfilled,IF(rF1.LoadFactorBottom&gt;1,rP2.OutputProofNotFulfilled,""))</f>
        <v>NEd &lt; NRd</v>
      </c>
      <c r="P83" s="175"/>
      <c r="Q83" s="175"/>
      <c r="R83" s="117"/>
      <c r="S83" s="219"/>
      <c r="T83" s="222"/>
      <c r="U83" s="222"/>
      <c r="V83" s="222"/>
      <c r="W83" s="222"/>
      <c r="X83" s="222"/>
      <c r="Y83" s="222"/>
      <c r="Z83" s="222"/>
      <c r="AA83" s="222"/>
      <c r="AB83" s="222"/>
      <c r="AC83" s="274"/>
      <c r="AD83" s="224">
        <v>0</v>
      </c>
      <c r="AE83" s="223">
        <f>rF1.WallHeight02</f>
        <v>2.645</v>
      </c>
      <c r="AF83" s="222"/>
      <c r="AG83" s="222"/>
      <c r="AH83" s="222"/>
      <c r="AI83" s="222"/>
      <c r="AJ83" s="275"/>
    </row>
    <row r="84" spans="11:36" ht="15" customHeight="1" x14ac:dyDescent="0.2">
      <c r="K84" s="142" t="s">
        <v>584</v>
      </c>
      <c r="L84" s="142"/>
      <c r="M84" s="381" t="str">
        <f ca="1">IF(rF1.CheckWoodenSlabCalc,rP2.OutputEccentricityWoodenSlab,IF(rF1.CheckFireResManual02,rP2.OutputFireProofManual02,IF(rF1.CheckFireResColumn,rP2.FireProofManual,IF(rF1.LoadFactorTopFireMax=0,rP2.OutputFireResClassFail,""))))</f>
        <v xml:space="preserve">a &lt; 2/3 · t! → Brandnachweis ist händisch zu führen! </v>
      </c>
      <c r="N84" s="143"/>
      <c r="O84" s="143"/>
      <c r="P84" s="143"/>
      <c r="Q84" s="192"/>
      <c r="R84" s="117"/>
    </row>
    <row r="85" spans="11:36" ht="15" customHeight="1" x14ac:dyDescent="0.2">
      <c r="K85" s="146" t="s">
        <v>526</v>
      </c>
      <c r="L85" s="284" t="s">
        <v>524</v>
      </c>
      <c r="M85" s="285" t="str">
        <f ca="1">rF1.LoadFactorTopFireReduced</f>
        <v>-</v>
      </c>
      <c r="N85" s="285" t="str">
        <f ca="1">rF1.LoadFactorMiddleFireReduced</f>
        <v>-</v>
      </c>
      <c r="O85" s="285" t="str">
        <f ca="1">rF1.LoadFactorBottomFireReduced</f>
        <v>-</v>
      </c>
      <c r="P85" s="175"/>
      <c r="Q85" s="175"/>
      <c r="R85" s="117"/>
    </row>
    <row r="86" spans="11:36" ht="15" customHeight="1" x14ac:dyDescent="0.2">
      <c r="K86" s="266" t="s">
        <v>525</v>
      </c>
      <c r="L86" s="286" t="s">
        <v>489</v>
      </c>
      <c r="M86" s="287" t="str">
        <f ca="1">rF1.LoadFactorTopFireMax</f>
        <v>-</v>
      </c>
      <c r="N86" s="287" t="str">
        <f ca="1">rF1.LoadFactorMiddleFireMax</f>
        <v>-</v>
      </c>
      <c r="O86" s="287" t="str">
        <f ca="1">rF1.LoadFactorBottomFireMax</f>
        <v>-</v>
      </c>
      <c r="P86" s="281"/>
      <c r="Q86" s="281"/>
    </row>
    <row r="87" spans="11:36" ht="15" customHeight="1" x14ac:dyDescent="0.2">
      <c r="K87" s="276" t="s">
        <v>487</v>
      </c>
      <c r="L87" s="282" t="s">
        <v>488</v>
      </c>
      <c r="M87" s="288" t="str">
        <f ca="1">rF1.LoadFactorTopFire</f>
        <v>-</v>
      </c>
      <c r="N87" s="288" t="str">
        <f ca="1">rF1.LoadFactorMiddleFire</f>
        <v>-</v>
      </c>
      <c r="O87" s="288" t="str">
        <f ca="1">rF1.LoadFactorBottomFire</f>
        <v>-</v>
      </c>
      <c r="P87" s="175"/>
      <c r="Q87" s="175"/>
      <c r="R87" s="117"/>
    </row>
    <row r="88" spans="11:36" ht="15" customHeight="1" x14ac:dyDescent="0.2">
      <c r="K88" s="140" t="s">
        <v>253</v>
      </c>
      <c r="L88" s="140"/>
      <c r="M88" s="140"/>
      <c r="N88" s="140"/>
      <c r="O88" s="140"/>
      <c r="P88" s="140"/>
      <c r="Q88" s="141"/>
      <c r="R88" s="117"/>
    </row>
    <row r="89" spans="11:36" ht="15" customHeight="1" x14ac:dyDescent="0.2">
      <c r="K89" s="290" t="s">
        <v>254</v>
      </c>
      <c r="L89" s="291"/>
      <c r="M89" s="292"/>
      <c r="N89" s="293" t="s">
        <v>265</v>
      </c>
      <c r="O89" s="292"/>
      <c r="P89" s="294"/>
      <c r="Q89" s="294"/>
      <c r="R89" s="117"/>
    </row>
    <row r="90" spans="11:36" ht="15" customHeight="1" thickBot="1" x14ac:dyDescent="0.25">
      <c r="K90" s="170"/>
      <c r="L90" s="146"/>
      <c r="M90" s="295"/>
      <c r="N90" s="295"/>
      <c r="O90" s="295"/>
      <c r="P90" s="265"/>
      <c r="Q90" s="265"/>
    </row>
    <row r="91" spans="11:36" ht="15" customHeight="1" x14ac:dyDescent="0.2">
      <c r="K91" s="170"/>
      <c r="L91" s="146"/>
      <c r="M91" s="295"/>
      <c r="N91" s="295"/>
      <c r="O91" s="295"/>
      <c r="P91" s="265"/>
      <c r="Q91" s="265"/>
      <c r="R91" s="409"/>
      <c r="S91" s="149" t="s">
        <v>120</v>
      </c>
      <c r="T91" s="151"/>
      <c r="U91" s="151"/>
      <c r="V91" s="151"/>
      <c r="W91" s="151"/>
      <c r="X91" s="151"/>
      <c r="Y91" s="151"/>
      <c r="Z91" s="151"/>
      <c r="AA91" s="151"/>
      <c r="AB91" s="151"/>
      <c r="AC91" s="151"/>
      <c r="AD91" s="151"/>
      <c r="AE91" s="151"/>
      <c r="AF91" s="151"/>
      <c r="AG91" s="151"/>
      <c r="AH91" s="151"/>
      <c r="AI91" s="289"/>
    </row>
    <row r="92" spans="11:36" ht="15" customHeight="1" x14ac:dyDescent="0.2">
      <c r="K92" s="170"/>
      <c r="L92" s="146"/>
      <c r="M92" s="295"/>
      <c r="N92" s="295"/>
      <c r="O92" s="295"/>
      <c r="P92" s="265"/>
      <c r="Q92" s="265"/>
      <c r="R92" s="117"/>
      <c r="S92" s="155"/>
      <c r="AI92" s="259"/>
    </row>
    <row r="93" spans="11:36" ht="15" customHeight="1" x14ac:dyDescent="0.2">
      <c r="K93" s="170"/>
      <c r="L93" s="146"/>
      <c r="M93" s="295"/>
      <c r="N93" s="295"/>
      <c r="O93" s="295"/>
      <c r="P93" s="265"/>
      <c r="Q93" s="265"/>
      <c r="R93" s="117"/>
      <c r="S93" s="155"/>
      <c r="T93" s="210" t="s">
        <v>96</v>
      </c>
      <c r="U93" s="296">
        <f ca="1">(rF1.BearingDepthTop02-2*0.05*rF1.BearingDepthTop02)*rF1.ReductionMasonryStrenghtArea02*rF1.ReductionMasonryStrengthLongTerm*rF1.MasonryStrenghtChar02/rF1.SafetyFactorMaterial02*1000</f>
        <v>649.74000000000012</v>
      </c>
      <c r="X93" s="210" t="s">
        <v>96</v>
      </c>
      <c r="Y93" s="296">
        <f ca="1">(rF1.BearingDepthBottom02-2*0.05*rF1.BearingDepthBottom02)*rF1.ReductionMasonryStrenghtArea02*rF1.ReductionMasonryStrengthLongTerm*rF1.MasonryStrenghtChar02/rF1.SafetyFactorMaterial02*1000</f>
        <v>649.74000000000012</v>
      </c>
      <c r="AB93" s="210" t="s">
        <v>96</v>
      </c>
      <c r="AC93" s="297" t="s">
        <v>0</v>
      </c>
      <c r="AI93" s="259"/>
    </row>
    <row r="94" spans="11:36" x14ac:dyDescent="0.2">
      <c r="K94" s="170"/>
      <c r="L94" s="146"/>
      <c r="M94" s="295"/>
      <c r="N94" s="295"/>
      <c r="O94" s="295"/>
      <c r="P94" s="265"/>
      <c r="Q94" s="265"/>
      <c r="R94" s="117"/>
      <c r="S94" s="155"/>
      <c r="T94" s="238" t="s">
        <v>100</v>
      </c>
      <c r="U94" s="233">
        <f>rF1.BearingDepthTop02</f>
        <v>0.245</v>
      </c>
      <c r="X94" s="238" t="s">
        <v>100</v>
      </c>
      <c r="Y94" s="233">
        <f>rF1.BearingDepthBottom02</f>
        <v>0.245</v>
      </c>
      <c r="AB94" s="238" t="s">
        <v>100</v>
      </c>
      <c r="AC94" s="298" t="s">
        <v>0</v>
      </c>
      <c r="AI94" s="259"/>
    </row>
    <row r="95" spans="11:36" x14ac:dyDescent="0.2">
      <c r="K95" s="170"/>
      <c r="L95" s="146"/>
      <c r="M95" s="295"/>
      <c r="N95" s="295"/>
      <c r="O95" s="295"/>
      <c r="P95" s="265"/>
      <c r="Q95" s="265"/>
      <c r="R95" s="117"/>
      <c r="S95" s="155"/>
      <c r="T95" s="238" t="s">
        <v>101</v>
      </c>
      <c r="U95" s="298" t="s">
        <v>0</v>
      </c>
      <c r="X95" s="238" t="s">
        <v>101</v>
      </c>
      <c r="Y95" s="298" t="s">
        <v>0</v>
      </c>
      <c r="AB95" s="238" t="s">
        <v>101</v>
      </c>
      <c r="AC95" s="233">
        <f ca="1">rF1.WallThickness02/2</f>
        <v>0.21249999999999999</v>
      </c>
      <c r="AI95" s="259"/>
    </row>
    <row r="96" spans="11:36" x14ac:dyDescent="0.2">
      <c r="K96" s="170"/>
      <c r="L96" s="146"/>
      <c r="M96" s="295"/>
      <c r="N96" s="295"/>
      <c r="O96" s="295"/>
      <c r="P96" s="265"/>
      <c r="Q96" s="265"/>
      <c r="R96" s="117"/>
      <c r="S96" s="155"/>
      <c r="T96" s="238" t="s">
        <v>105</v>
      </c>
      <c r="U96" s="233">
        <f ca="1">IF(rF1.CheckWoodenSlabCalc,-5,rF1.WallAxForceTop*rF1.EccentricityTotalTop)</f>
        <v>5.9135650000000002</v>
      </c>
      <c r="X96" s="238" t="s">
        <v>105</v>
      </c>
      <c r="Y96" s="233">
        <f ca="1">IF(rF1.CheckWoodenSlabCalc,-5,rF1.WallAxForceBottom*rF1.EccentricityTotalBottom)</f>
        <v>6.0991533252671877</v>
      </c>
      <c r="AB96" s="238" t="s">
        <v>105</v>
      </c>
      <c r="AC96" s="233">
        <f ca="1">IF(rF1.CheckWoodenSlabCalc,-5,rF1.WallAxForceMiddle*rF1.EccentricityTotalMiddle)</f>
        <v>50.82952195606812</v>
      </c>
      <c r="AI96" s="259"/>
    </row>
    <row r="97" spans="11:35" x14ac:dyDescent="0.2">
      <c r="K97" s="170"/>
      <c r="L97" s="146"/>
      <c r="M97" s="295"/>
      <c r="N97" s="295"/>
      <c r="O97" s="295"/>
      <c r="P97" s="265"/>
      <c r="Q97" s="265"/>
      <c r="R97" s="117"/>
      <c r="S97" s="155"/>
      <c r="T97" s="211" t="s">
        <v>106</v>
      </c>
      <c r="U97" s="299">
        <f>rF1.WallAxForceTop</f>
        <v>482.74</v>
      </c>
      <c r="X97" s="211" t="s">
        <v>106</v>
      </c>
      <c r="Y97" s="299">
        <f ca="1">rF1.WallAxForceBottom</f>
        <v>497.89006736875001</v>
      </c>
      <c r="AB97" s="211" t="s">
        <v>106</v>
      </c>
      <c r="AC97" s="299">
        <f ca="1">rF1.WallAxForceMiddle</f>
        <v>490.31503368437501</v>
      </c>
      <c r="AI97" s="259"/>
    </row>
    <row r="98" spans="11:35" x14ac:dyDescent="0.2">
      <c r="K98" s="170"/>
      <c r="L98" s="146"/>
      <c r="M98" s="295"/>
      <c r="N98" s="295"/>
      <c r="O98" s="295"/>
      <c r="P98" s="265"/>
      <c r="Q98" s="265"/>
      <c r="R98" s="117"/>
      <c r="S98" s="155"/>
      <c r="AI98" s="259"/>
    </row>
    <row r="99" spans="11:35" x14ac:dyDescent="0.2">
      <c r="K99" s="170"/>
      <c r="L99" s="146"/>
      <c r="M99" s="295"/>
      <c r="N99" s="295"/>
      <c r="O99" s="295"/>
      <c r="P99" s="265"/>
      <c r="Q99" s="265"/>
      <c r="R99" s="117"/>
      <c r="S99" s="155"/>
      <c r="T99" s="134"/>
      <c r="U99" s="156" t="s">
        <v>97</v>
      </c>
      <c r="V99" s="237" t="s">
        <v>98</v>
      </c>
      <c r="W99" s="157" t="s">
        <v>99</v>
      </c>
      <c r="X99" s="134"/>
      <c r="Y99" s="156" t="s">
        <v>97</v>
      </c>
      <c r="Z99" s="237" t="s">
        <v>98</v>
      </c>
      <c r="AA99" s="157" t="s">
        <v>99</v>
      </c>
      <c r="AB99" s="134"/>
      <c r="AC99" s="156" t="s">
        <v>102</v>
      </c>
      <c r="AD99" s="237" t="s">
        <v>103</v>
      </c>
      <c r="AE99" s="237" t="s">
        <v>104</v>
      </c>
      <c r="AF99" s="300" t="s">
        <v>197</v>
      </c>
      <c r="AG99" s="237" t="s">
        <v>97</v>
      </c>
      <c r="AH99" s="157" t="s">
        <v>99</v>
      </c>
      <c r="AI99" s="259"/>
    </row>
    <row r="100" spans="11:35" x14ac:dyDescent="0.2">
      <c r="K100" s="170"/>
      <c r="L100" s="146"/>
      <c r="M100" s="295"/>
      <c r="N100" s="295"/>
      <c r="O100" s="295"/>
      <c r="P100" s="265"/>
      <c r="Q100" s="265"/>
      <c r="R100" s="117"/>
      <c r="S100" s="155"/>
      <c r="T100" s="210">
        <v>0</v>
      </c>
      <c r="U100" s="198">
        <f t="shared" ref="U100:U131" ca="1" si="2">IF(rF1.CheckWoodenSlabCalc,0,rF1.PlotAxForceFactor*rF1.PlotAxResistanceMaxTop)</f>
        <v>0</v>
      </c>
      <c r="V100" s="163">
        <v>0</v>
      </c>
      <c r="W100" s="186">
        <f ca="1">rF1.PlotAxForceTop*rF1.PlotExcentricityTop</f>
        <v>0</v>
      </c>
      <c r="Y100" s="198">
        <f t="shared" ref="Y100:Y131" ca="1" si="3">IF(rF1.CheckWoodenSlabCalc,0,rF1.PlotAxForceFactor*rF1.PlotAxResistanceMaxBottom)</f>
        <v>0</v>
      </c>
      <c r="Z100" s="163">
        <v>0</v>
      </c>
      <c r="AA100" s="186">
        <f ca="1">rF1.PlotAxForceBottom*rF1.PlotExcentricityBottom</f>
        <v>0</v>
      </c>
      <c r="AC100" s="198">
        <f t="shared" ref="AC100:AC132" ca="1" si="4">rF1.PlotAxForceFactor*rF1.PlotExcentricityLoadMax</f>
        <v>0</v>
      </c>
      <c r="AD100" s="163">
        <f t="shared" ref="AD100:AD132" ca="1" si="5">IF(rF1.WallSlenderness02&lt;=rP1.MaxSlendernessCreepEcc,0,0.002*rP1.CreepCoefficient*rF1.WallHeightBuckling/rF1.WallHeight02*SQRT(rF1.WallHeight02*rF1.PlotExcentricityLoadMiddle))</f>
        <v>0</v>
      </c>
      <c r="AE100" s="163">
        <f t="shared" ref="AE100:AE132" ca="1" si="6">MAX(rF1.PlotExcentricityCreepMiddle+rF1.PlotExcentricityLoadMiddle,0.05*rF1.WallThickness02)</f>
        <v>2.1250000000000002E-2</v>
      </c>
      <c r="AF100" s="163">
        <f t="shared" ref="AF100:AF131" ca="1" si="7">MIN(1.14*(1-2*rF1.PlotExcentricityTotalMiddle/rF1.WallThickness02)-0.024*rF1.WallHeightEffective/rF1.WallThickness02,1-2*rF1.PlotExcentricityTotalMiddle/rF1.WallThickness02)</f>
        <v>0.87663529411764707</v>
      </c>
      <c r="AG100" s="163">
        <f t="shared" ref="AG100:AG131" ca="1" si="8">IF(rF1.CheckWoodenSlabCalc,0,rF1.PlotReductionParameterMiddle*rF1.WallThickness02*rF1.ReductionMasonryStrenghtArea02*rF1.ReductionMasonryStrengthLongTerm*rF1.MasonryStrenghtChar02/rF1.SafetyFactorMaterial02*1000)</f>
        <v>1097.8396</v>
      </c>
      <c r="AH100" s="186">
        <v>0</v>
      </c>
      <c r="AI100" s="259"/>
    </row>
    <row r="101" spans="11:35" x14ac:dyDescent="0.2">
      <c r="K101" s="170"/>
      <c r="L101" s="146"/>
      <c r="M101" s="295"/>
      <c r="N101" s="295"/>
      <c r="O101" s="295"/>
      <c r="P101" s="265"/>
      <c r="Q101" s="265"/>
      <c r="R101" s="117"/>
      <c r="S101" s="155"/>
      <c r="T101" s="238">
        <v>0</v>
      </c>
      <c r="U101" s="209">
        <f t="shared" ca="1" si="2"/>
        <v>0</v>
      </c>
      <c r="V101" s="118">
        <f t="shared" ref="V101:V132" ca="1" si="9">rF1.PlotWallThicknessNettoTop/2-rF1.PlotAxForceTop*rF1.SafetyFactorMaterial02/(1000*2*rF1.MasonryStrenghtChar02*rF1.ReductionMasonryStrenghtArea02*rF1.ReductionMasonryStrengthLongTerm)</f>
        <v>0.1225</v>
      </c>
      <c r="W101" s="204">
        <f ca="1">rF1.PlotAxForceTop*rF1.PlotExcentricityTop</f>
        <v>0</v>
      </c>
      <c r="Y101" s="209">
        <f t="shared" ca="1" si="3"/>
        <v>0</v>
      </c>
      <c r="Z101" s="118">
        <f t="shared" ref="Z101:Z132" ca="1" si="10">rF1.PlotWallThicknessNettoBottom/2-rF1.PlotAxForceBottom*rF1.SafetyFactorMaterial02/(1000*2*rF1.MasonryStrenghtChar02*rF1.ReductionMasonryStrenghtArea02*rF1.ReductionMasonryStrengthLongTerm)</f>
        <v>0.1225</v>
      </c>
      <c r="AA101" s="204">
        <f ca="1">rF1.PlotAxForceBottom*rF1.PlotExcentricityBottom</f>
        <v>0</v>
      </c>
      <c r="AC101" s="209">
        <f t="shared" ca="1" si="4"/>
        <v>0</v>
      </c>
      <c r="AD101" s="118">
        <f t="shared" ca="1" si="5"/>
        <v>0</v>
      </c>
      <c r="AE101" s="118">
        <f t="shared" ca="1" si="6"/>
        <v>2.1250000000000002E-2</v>
      </c>
      <c r="AF101" s="118">
        <f t="shared" ca="1" si="7"/>
        <v>0.87663529411764707</v>
      </c>
      <c r="AG101" s="118">
        <f t="shared" ca="1" si="8"/>
        <v>1097.8396</v>
      </c>
      <c r="AH101" s="204">
        <f t="shared" ref="AH101:AH132" ca="1" si="11">rF1.PlotExcentricityTotalMiddle*rF1.PlotAxForceMiddle</f>
        <v>23.329091500000001</v>
      </c>
      <c r="AI101" s="259"/>
    </row>
    <row r="102" spans="11:35" x14ac:dyDescent="0.2">
      <c r="K102" s="170"/>
      <c r="L102" s="146"/>
      <c r="M102" s="295"/>
      <c r="N102" s="295"/>
      <c r="O102" s="295"/>
      <c r="P102" s="265"/>
      <c r="Q102" s="265"/>
      <c r="R102" s="117"/>
      <c r="S102" s="155"/>
      <c r="T102" s="238">
        <v>0.01</v>
      </c>
      <c r="U102" s="209">
        <f t="shared" ca="1" si="2"/>
        <v>6.4974000000000016</v>
      </c>
      <c r="V102" s="118">
        <f t="shared" ca="1" si="9"/>
        <v>0.12139749999999999</v>
      </c>
      <c r="W102" s="204">
        <f t="shared" ref="W102:W132" ca="1" si="12">rF1.PlotAxForceTop*rF1.PlotExcentricityTop</f>
        <v>0.78876811650000012</v>
      </c>
      <c r="Y102" s="209">
        <f t="shared" ca="1" si="3"/>
        <v>6.4974000000000016</v>
      </c>
      <c r="Z102" s="118">
        <f t="shared" ca="1" si="10"/>
        <v>0.12139749999999999</v>
      </c>
      <c r="AA102" s="204">
        <f t="shared" ref="AA102:AA132" ca="1" si="13">rF1.PlotAxForceBottom*rF1.PlotExcentricityBottom</f>
        <v>0.78876811650000012</v>
      </c>
      <c r="AC102" s="209">
        <f t="shared" ca="1" si="4"/>
        <v>2.1250000000000002E-3</v>
      </c>
      <c r="AD102" s="118">
        <f t="shared" ca="1" si="5"/>
        <v>0</v>
      </c>
      <c r="AE102" s="118">
        <f t="shared" ca="1" si="6"/>
        <v>2.1250000000000002E-2</v>
      </c>
      <c r="AF102" s="118">
        <f t="shared" ca="1" si="7"/>
        <v>0.87663529411764707</v>
      </c>
      <c r="AG102" s="118">
        <f t="shared" ca="1" si="8"/>
        <v>1097.8396</v>
      </c>
      <c r="AH102" s="204">
        <f t="shared" ca="1" si="11"/>
        <v>23.329091500000001</v>
      </c>
      <c r="AI102" s="259"/>
    </row>
    <row r="103" spans="11:35" x14ac:dyDescent="0.2">
      <c r="K103" s="170"/>
      <c r="L103" s="146"/>
      <c r="M103" s="295"/>
      <c r="N103" s="295"/>
      <c r="O103" s="295"/>
      <c r="P103" s="265"/>
      <c r="Q103" s="265"/>
      <c r="R103" s="117"/>
      <c r="S103" s="155"/>
      <c r="T103" s="238">
        <v>0.02</v>
      </c>
      <c r="U103" s="209">
        <f t="shared" ca="1" si="2"/>
        <v>12.994800000000003</v>
      </c>
      <c r="V103" s="118">
        <f t="shared" ca="1" si="9"/>
        <v>0.120295</v>
      </c>
      <c r="W103" s="204">
        <f t="shared" ca="1" si="12"/>
        <v>1.5632094660000004</v>
      </c>
      <c r="Y103" s="209">
        <f t="shared" ca="1" si="3"/>
        <v>12.994800000000003</v>
      </c>
      <c r="Z103" s="118">
        <f t="shared" ca="1" si="10"/>
        <v>0.120295</v>
      </c>
      <c r="AA103" s="204">
        <f t="shared" ca="1" si="13"/>
        <v>1.5632094660000004</v>
      </c>
      <c r="AC103" s="209">
        <f t="shared" ca="1" si="4"/>
        <v>4.2500000000000003E-3</v>
      </c>
      <c r="AD103" s="118">
        <f t="shared" ca="1" si="5"/>
        <v>0</v>
      </c>
      <c r="AE103" s="118">
        <f t="shared" ca="1" si="6"/>
        <v>2.1250000000000002E-2</v>
      </c>
      <c r="AF103" s="118">
        <f t="shared" ca="1" si="7"/>
        <v>0.87663529411764707</v>
      </c>
      <c r="AG103" s="118">
        <f t="shared" ca="1" si="8"/>
        <v>1097.8396</v>
      </c>
      <c r="AH103" s="204">
        <f t="shared" ca="1" si="11"/>
        <v>23.329091500000001</v>
      </c>
      <c r="AI103" s="259"/>
    </row>
    <row r="104" spans="11:35" x14ac:dyDescent="0.2">
      <c r="K104" s="170"/>
      <c r="L104" s="146"/>
      <c r="M104" s="295"/>
      <c r="N104" s="295"/>
      <c r="O104" s="295"/>
      <c r="P104" s="265"/>
      <c r="Q104" s="265"/>
      <c r="R104" s="117"/>
      <c r="S104" s="155"/>
      <c r="T104" s="238">
        <v>0.03</v>
      </c>
      <c r="U104" s="209">
        <f t="shared" ca="1" si="2"/>
        <v>19.492200000000004</v>
      </c>
      <c r="V104" s="118">
        <f t="shared" ca="1" si="9"/>
        <v>0.11919249999999999</v>
      </c>
      <c r="W104" s="204">
        <f t="shared" ca="1" si="12"/>
        <v>2.3233240485000004</v>
      </c>
      <c r="Y104" s="209">
        <f t="shared" ca="1" si="3"/>
        <v>19.492200000000004</v>
      </c>
      <c r="Z104" s="118">
        <f t="shared" ca="1" si="10"/>
        <v>0.11919249999999999</v>
      </c>
      <c r="AA104" s="204">
        <f t="shared" ca="1" si="13"/>
        <v>2.3233240485000004</v>
      </c>
      <c r="AC104" s="209">
        <f t="shared" ca="1" si="4"/>
        <v>6.3749999999999996E-3</v>
      </c>
      <c r="AD104" s="118">
        <f t="shared" ca="1" si="5"/>
        <v>0</v>
      </c>
      <c r="AE104" s="118">
        <f t="shared" ca="1" si="6"/>
        <v>2.1250000000000002E-2</v>
      </c>
      <c r="AF104" s="118">
        <f t="shared" ca="1" si="7"/>
        <v>0.87663529411764707</v>
      </c>
      <c r="AG104" s="118">
        <f t="shared" ca="1" si="8"/>
        <v>1097.8396</v>
      </c>
      <c r="AH104" s="204">
        <f t="shared" ca="1" si="11"/>
        <v>23.329091500000001</v>
      </c>
      <c r="AI104" s="259"/>
    </row>
    <row r="105" spans="11:35" x14ac:dyDescent="0.2">
      <c r="K105" s="170"/>
      <c r="L105" s="146"/>
      <c r="M105" s="295"/>
      <c r="N105" s="295"/>
      <c r="O105" s="295"/>
      <c r="P105" s="265"/>
      <c r="Q105" s="265"/>
      <c r="R105" s="117"/>
      <c r="S105" s="155"/>
      <c r="T105" s="238">
        <v>0.04</v>
      </c>
      <c r="U105" s="209">
        <f t="shared" ca="1" si="2"/>
        <v>25.989600000000006</v>
      </c>
      <c r="V105" s="118">
        <f t="shared" ca="1" si="9"/>
        <v>0.11809</v>
      </c>
      <c r="W105" s="204">
        <f t="shared" ca="1" si="12"/>
        <v>3.0691118640000008</v>
      </c>
      <c r="Y105" s="209">
        <f t="shared" ca="1" si="3"/>
        <v>25.989600000000006</v>
      </c>
      <c r="Z105" s="118">
        <f t="shared" ca="1" si="10"/>
        <v>0.11809</v>
      </c>
      <c r="AA105" s="204">
        <f t="shared" ca="1" si="13"/>
        <v>3.0691118640000008</v>
      </c>
      <c r="AC105" s="209">
        <f t="shared" ca="1" si="4"/>
        <v>8.5000000000000006E-3</v>
      </c>
      <c r="AD105" s="118">
        <f t="shared" ca="1" si="5"/>
        <v>0</v>
      </c>
      <c r="AE105" s="118">
        <f t="shared" ca="1" si="6"/>
        <v>2.1250000000000002E-2</v>
      </c>
      <c r="AF105" s="118">
        <f t="shared" ca="1" si="7"/>
        <v>0.87663529411764707</v>
      </c>
      <c r="AG105" s="118">
        <f t="shared" ca="1" si="8"/>
        <v>1097.8396</v>
      </c>
      <c r="AH105" s="204">
        <f t="shared" ca="1" si="11"/>
        <v>23.329091500000001</v>
      </c>
      <c r="AI105" s="259"/>
    </row>
    <row r="106" spans="11:35" x14ac:dyDescent="0.2">
      <c r="K106" s="290" t="s">
        <v>266</v>
      </c>
      <c r="L106" s="291"/>
      <c r="M106" s="301"/>
      <c r="N106" s="302" t="s">
        <v>267</v>
      </c>
      <c r="O106" s="301"/>
      <c r="P106" s="294"/>
      <c r="Q106" s="294"/>
      <c r="R106" s="117"/>
      <c r="S106" s="155"/>
      <c r="T106" s="238">
        <v>0.05</v>
      </c>
      <c r="U106" s="209">
        <f t="shared" ca="1" si="2"/>
        <v>32.487000000000009</v>
      </c>
      <c r="V106" s="118">
        <f t="shared" ca="1" si="9"/>
        <v>0.11698749999999999</v>
      </c>
      <c r="W106" s="204">
        <f t="shared" ca="1" si="12"/>
        <v>3.8005729125000007</v>
      </c>
      <c r="Y106" s="209">
        <f t="shared" ca="1" si="3"/>
        <v>32.487000000000009</v>
      </c>
      <c r="Z106" s="118">
        <f t="shared" ca="1" si="10"/>
        <v>0.11698749999999999</v>
      </c>
      <c r="AA106" s="204">
        <f t="shared" ca="1" si="13"/>
        <v>3.8005729125000007</v>
      </c>
      <c r="AC106" s="209">
        <f t="shared" ca="1" si="4"/>
        <v>1.0625000000000001E-2</v>
      </c>
      <c r="AD106" s="118">
        <f t="shared" ca="1" si="5"/>
        <v>0</v>
      </c>
      <c r="AE106" s="118">
        <f t="shared" ca="1" si="6"/>
        <v>2.1250000000000002E-2</v>
      </c>
      <c r="AF106" s="118">
        <f t="shared" ca="1" si="7"/>
        <v>0.87663529411764707</v>
      </c>
      <c r="AG106" s="118">
        <f t="shared" ca="1" si="8"/>
        <v>1097.8396</v>
      </c>
      <c r="AH106" s="204">
        <f t="shared" ca="1" si="11"/>
        <v>23.329091500000001</v>
      </c>
      <c r="AI106" s="259"/>
    </row>
    <row r="107" spans="11:35" x14ac:dyDescent="0.2">
      <c r="K107" s="146"/>
      <c r="L107" s="146"/>
      <c r="M107" s="303"/>
      <c r="N107" s="303"/>
      <c r="O107" s="303"/>
      <c r="P107" s="265"/>
      <c r="Q107" s="265"/>
      <c r="R107" s="117"/>
      <c r="S107" s="155"/>
      <c r="T107" s="238">
        <v>0.06</v>
      </c>
      <c r="U107" s="209">
        <f t="shared" ca="1" si="2"/>
        <v>38.984400000000008</v>
      </c>
      <c r="V107" s="118">
        <f t="shared" ca="1" si="9"/>
        <v>0.115885</v>
      </c>
      <c r="W107" s="204">
        <f t="shared" ca="1" si="12"/>
        <v>4.5177071940000006</v>
      </c>
      <c r="Y107" s="209">
        <f t="shared" ca="1" si="3"/>
        <v>38.984400000000008</v>
      </c>
      <c r="Z107" s="118">
        <f t="shared" ca="1" si="10"/>
        <v>0.115885</v>
      </c>
      <c r="AA107" s="204">
        <f t="shared" ca="1" si="13"/>
        <v>4.5177071940000006</v>
      </c>
      <c r="AC107" s="209">
        <f t="shared" ca="1" si="4"/>
        <v>1.2749999999999999E-2</v>
      </c>
      <c r="AD107" s="118">
        <f t="shared" ca="1" si="5"/>
        <v>0</v>
      </c>
      <c r="AE107" s="118">
        <f t="shared" ca="1" si="6"/>
        <v>2.1250000000000002E-2</v>
      </c>
      <c r="AF107" s="118">
        <f t="shared" ca="1" si="7"/>
        <v>0.87663529411764707</v>
      </c>
      <c r="AG107" s="118">
        <f t="shared" ca="1" si="8"/>
        <v>1097.8396</v>
      </c>
      <c r="AH107" s="204">
        <f t="shared" ca="1" si="11"/>
        <v>23.329091500000001</v>
      </c>
      <c r="AI107" s="259"/>
    </row>
    <row r="108" spans="11:35" x14ac:dyDescent="0.2">
      <c r="K108" s="170"/>
      <c r="L108" s="146"/>
      <c r="M108" s="265"/>
      <c r="N108" s="265"/>
      <c r="O108" s="265"/>
      <c r="P108" s="265"/>
      <c r="Q108" s="265"/>
      <c r="R108" s="409"/>
      <c r="S108" s="155"/>
      <c r="T108" s="238">
        <v>7.0000000000000007E-2</v>
      </c>
      <c r="U108" s="209">
        <f t="shared" ca="1" si="2"/>
        <v>45.481800000000014</v>
      </c>
      <c r="V108" s="118">
        <f t="shared" ca="1" si="9"/>
        <v>0.1147825</v>
      </c>
      <c r="W108" s="204">
        <f t="shared" ca="1" si="12"/>
        <v>5.2205147085000014</v>
      </c>
      <c r="Y108" s="209">
        <f t="shared" ca="1" si="3"/>
        <v>45.481800000000014</v>
      </c>
      <c r="Z108" s="118">
        <f t="shared" ca="1" si="10"/>
        <v>0.1147825</v>
      </c>
      <c r="AA108" s="204">
        <f t="shared" ca="1" si="13"/>
        <v>5.2205147085000014</v>
      </c>
      <c r="AC108" s="209">
        <f t="shared" ca="1" si="4"/>
        <v>1.4875000000000001E-2</v>
      </c>
      <c r="AD108" s="118">
        <f t="shared" ca="1" si="5"/>
        <v>0</v>
      </c>
      <c r="AE108" s="118">
        <f t="shared" ca="1" si="6"/>
        <v>2.1250000000000002E-2</v>
      </c>
      <c r="AF108" s="118">
        <f t="shared" ca="1" si="7"/>
        <v>0.87663529411764707</v>
      </c>
      <c r="AG108" s="118">
        <f t="shared" ca="1" si="8"/>
        <v>1097.8396</v>
      </c>
      <c r="AH108" s="204">
        <f t="shared" ca="1" si="11"/>
        <v>23.329091500000001</v>
      </c>
      <c r="AI108" s="259"/>
    </row>
    <row r="109" spans="11:35" x14ac:dyDescent="0.2">
      <c r="K109" s="218"/>
      <c r="L109" s="146"/>
      <c r="M109" s="264"/>
      <c r="N109" s="264"/>
      <c r="O109" s="264"/>
      <c r="P109" s="264"/>
      <c r="Q109" s="265"/>
      <c r="R109" s="117"/>
      <c r="S109" s="155"/>
      <c r="T109" s="238">
        <v>0.08</v>
      </c>
      <c r="U109" s="209">
        <f t="shared" ca="1" si="2"/>
        <v>51.979200000000013</v>
      </c>
      <c r="V109" s="118">
        <f t="shared" ca="1" si="9"/>
        <v>0.11368</v>
      </c>
      <c r="W109" s="204">
        <f t="shared" ca="1" si="12"/>
        <v>5.9089954560000013</v>
      </c>
      <c r="Y109" s="209">
        <f t="shared" ca="1" si="3"/>
        <v>51.979200000000013</v>
      </c>
      <c r="Z109" s="118">
        <f t="shared" ca="1" si="10"/>
        <v>0.11368</v>
      </c>
      <c r="AA109" s="204">
        <f t="shared" ca="1" si="13"/>
        <v>5.9089954560000013</v>
      </c>
      <c r="AC109" s="209">
        <f t="shared" ca="1" si="4"/>
        <v>1.7000000000000001E-2</v>
      </c>
      <c r="AD109" s="118">
        <f t="shared" ca="1" si="5"/>
        <v>0</v>
      </c>
      <c r="AE109" s="118">
        <f t="shared" ca="1" si="6"/>
        <v>2.1250000000000002E-2</v>
      </c>
      <c r="AF109" s="118">
        <f t="shared" ca="1" si="7"/>
        <v>0.87663529411764707</v>
      </c>
      <c r="AG109" s="118">
        <f t="shared" ca="1" si="8"/>
        <v>1097.8396</v>
      </c>
      <c r="AH109" s="204">
        <f t="shared" ca="1" si="11"/>
        <v>23.329091500000001</v>
      </c>
      <c r="AI109" s="259"/>
    </row>
    <row r="110" spans="11:35" x14ac:dyDescent="0.2">
      <c r="K110" s="218"/>
      <c r="L110" s="146"/>
      <c r="M110" s="264"/>
      <c r="N110" s="264"/>
      <c r="O110" s="264"/>
      <c r="P110" s="264"/>
      <c r="Q110" s="265"/>
      <c r="R110" s="117"/>
      <c r="S110" s="155"/>
      <c r="T110" s="238">
        <v>0.09</v>
      </c>
      <c r="U110" s="209">
        <f t="shared" ca="1" si="2"/>
        <v>58.476600000000012</v>
      </c>
      <c r="V110" s="118">
        <f t="shared" ca="1" si="9"/>
        <v>0.1125775</v>
      </c>
      <c r="W110" s="204">
        <f t="shared" ca="1" si="12"/>
        <v>6.5831494365000012</v>
      </c>
      <c r="Y110" s="209">
        <f t="shared" ca="1" si="3"/>
        <v>58.476600000000012</v>
      </c>
      <c r="Z110" s="118">
        <f t="shared" ca="1" si="10"/>
        <v>0.1125775</v>
      </c>
      <c r="AA110" s="204">
        <f t="shared" ca="1" si="13"/>
        <v>6.5831494365000012</v>
      </c>
      <c r="AC110" s="209">
        <f t="shared" ca="1" si="4"/>
        <v>1.9125E-2</v>
      </c>
      <c r="AD110" s="118">
        <f t="shared" ca="1" si="5"/>
        <v>0</v>
      </c>
      <c r="AE110" s="118">
        <f t="shared" ca="1" si="6"/>
        <v>2.1250000000000002E-2</v>
      </c>
      <c r="AF110" s="118">
        <f t="shared" ca="1" si="7"/>
        <v>0.87663529411764707</v>
      </c>
      <c r="AG110" s="118">
        <f t="shared" ca="1" si="8"/>
        <v>1097.8396</v>
      </c>
      <c r="AH110" s="204">
        <f t="shared" ca="1" si="11"/>
        <v>23.329091500000001</v>
      </c>
      <c r="AI110" s="259"/>
    </row>
    <row r="111" spans="11:35" x14ac:dyDescent="0.2">
      <c r="K111" s="170"/>
      <c r="L111" s="146"/>
      <c r="M111" s="265"/>
      <c r="N111" s="265"/>
      <c r="O111" s="265"/>
      <c r="P111" s="265"/>
      <c r="Q111" s="265"/>
      <c r="R111" s="117"/>
      <c r="S111" s="155"/>
      <c r="T111" s="238">
        <v>0.1</v>
      </c>
      <c r="U111" s="209">
        <f t="shared" ca="1" si="2"/>
        <v>64.974000000000018</v>
      </c>
      <c r="V111" s="118">
        <f t="shared" ca="1" si="9"/>
        <v>0.11147499999999999</v>
      </c>
      <c r="W111" s="204">
        <f t="shared" ca="1" si="12"/>
        <v>7.242976650000001</v>
      </c>
      <c r="Y111" s="209">
        <f t="shared" ca="1" si="3"/>
        <v>64.974000000000018</v>
      </c>
      <c r="Z111" s="118">
        <f t="shared" ca="1" si="10"/>
        <v>0.11147499999999999</v>
      </c>
      <c r="AA111" s="204">
        <f t="shared" ca="1" si="13"/>
        <v>7.242976650000001</v>
      </c>
      <c r="AC111" s="209">
        <f t="shared" ca="1" si="4"/>
        <v>2.1250000000000002E-2</v>
      </c>
      <c r="AD111" s="118">
        <f t="shared" ca="1" si="5"/>
        <v>0</v>
      </c>
      <c r="AE111" s="118">
        <f t="shared" ca="1" si="6"/>
        <v>2.1250000000000002E-2</v>
      </c>
      <c r="AF111" s="118">
        <f t="shared" ca="1" si="7"/>
        <v>0.87663529411764707</v>
      </c>
      <c r="AG111" s="118">
        <f t="shared" ca="1" si="8"/>
        <v>1097.8396</v>
      </c>
      <c r="AH111" s="204">
        <f t="shared" ca="1" si="11"/>
        <v>23.329091500000001</v>
      </c>
      <c r="AI111" s="259"/>
    </row>
    <row r="112" spans="11:35" x14ac:dyDescent="0.2">
      <c r="K112" s="170"/>
      <c r="L112" s="146"/>
      <c r="M112" s="265"/>
      <c r="N112" s="265"/>
      <c r="O112" s="265"/>
      <c r="P112" s="265"/>
      <c r="Q112" s="265"/>
      <c r="R112" s="117"/>
      <c r="S112" s="155"/>
      <c r="T112" s="238">
        <v>0.11</v>
      </c>
      <c r="U112" s="209">
        <f t="shared" ca="1" si="2"/>
        <v>71.471400000000017</v>
      </c>
      <c r="V112" s="118">
        <f t="shared" ca="1" si="9"/>
        <v>0.1103725</v>
      </c>
      <c r="W112" s="204">
        <f t="shared" ca="1" si="12"/>
        <v>7.8884770965000017</v>
      </c>
      <c r="Y112" s="209">
        <f t="shared" ca="1" si="3"/>
        <v>71.471400000000017</v>
      </c>
      <c r="Z112" s="118">
        <f t="shared" ca="1" si="10"/>
        <v>0.1103725</v>
      </c>
      <c r="AA112" s="204">
        <f t="shared" ca="1" si="13"/>
        <v>7.8884770965000017</v>
      </c>
      <c r="AC112" s="209">
        <f t="shared" ca="1" si="4"/>
        <v>2.3375E-2</v>
      </c>
      <c r="AD112" s="118">
        <f t="shared" ca="1" si="5"/>
        <v>0</v>
      </c>
      <c r="AE112" s="118">
        <f t="shared" ca="1" si="6"/>
        <v>2.3375E-2</v>
      </c>
      <c r="AF112" s="118">
        <f t="shared" ca="1" si="7"/>
        <v>0.86523529411764699</v>
      </c>
      <c r="AG112" s="118">
        <f t="shared" ca="1" si="8"/>
        <v>1083.5630000000001</v>
      </c>
      <c r="AH112" s="204">
        <f t="shared" ca="1" si="11"/>
        <v>25.328285125000001</v>
      </c>
      <c r="AI112" s="259"/>
    </row>
    <row r="113" spans="11:35" x14ac:dyDescent="0.2">
      <c r="K113" s="170"/>
      <c r="L113" s="146"/>
      <c r="M113" s="265"/>
      <c r="N113" s="265"/>
      <c r="O113" s="265"/>
      <c r="P113" s="265"/>
      <c r="Q113" s="265"/>
      <c r="R113" s="117"/>
      <c r="S113" s="155"/>
      <c r="T113" s="238">
        <v>0.12</v>
      </c>
      <c r="U113" s="209">
        <f t="shared" ca="1" si="2"/>
        <v>77.968800000000016</v>
      </c>
      <c r="V113" s="118">
        <f t="shared" ca="1" si="9"/>
        <v>0.10926999999999999</v>
      </c>
      <c r="W113" s="204">
        <f t="shared" ca="1" si="12"/>
        <v>8.5196507760000006</v>
      </c>
      <c r="Y113" s="209">
        <f t="shared" ca="1" si="3"/>
        <v>77.968800000000016</v>
      </c>
      <c r="Z113" s="118">
        <f t="shared" ca="1" si="10"/>
        <v>0.10926999999999999</v>
      </c>
      <c r="AA113" s="204">
        <f t="shared" ca="1" si="13"/>
        <v>8.5196507760000006</v>
      </c>
      <c r="AC113" s="209">
        <f t="shared" ca="1" si="4"/>
        <v>2.5499999999999998E-2</v>
      </c>
      <c r="AD113" s="118">
        <f t="shared" ca="1" si="5"/>
        <v>0</v>
      </c>
      <c r="AE113" s="118">
        <f t="shared" ca="1" si="6"/>
        <v>2.5499999999999998E-2</v>
      </c>
      <c r="AF113" s="118">
        <f t="shared" ca="1" si="7"/>
        <v>0.85383529411764691</v>
      </c>
      <c r="AG113" s="118">
        <f t="shared" ca="1" si="8"/>
        <v>1069.2864</v>
      </c>
      <c r="AH113" s="204">
        <f t="shared" ca="1" si="11"/>
        <v>27.266803199999998</v>
      </c>
      <c r="AI113" s="259"/>
    </row>
    <row r="114" spans="11:35" x14ac:dyDescent="0.2">
      <c r="K114" s="170"/>
      <c r="L114" s="146"/>
      <c r="M114" s="265"/>
      <c r="N114" s="265"/>
      <c r="O114" s="265"/>
      <c r="P114" s="265"/>
      <c r="Q114" s="265"/>
      <c r="R114" s="117"/>
      <c r="S114" s="155"/>
      <c r="T114" s="238">
        <v>0.13</v>
      </c>
      <c r="U114" s="209">
        <f t="shared" ca="1" si="2"/>
        <v>84.466200000000015</v>
      </c>
      <c r="V114" s="118">
        <f t="shared" ca="1" si="9"/>
        <v>0.1081675</v>
      </c>
      <c r="W114" s="204">
        <f t="shared" ca="1" si="12"/>
        <v>9.1364976885000022</v>
      </c>
      <c r="Y114" s="209">
        <f t="shared" ca="1" si="3"/>
        <v>84.466200000000015</v>
      </c>
      <c r="Z114" s="118">
        <f t="shared" ca="1" si="10"/>
        <v>0.1081675</v>
      </c>
      <c r="AA114" s="204">
        <f t="shared" ca="1" si="13"/>
        <v>9.1364976885000022</v>
      </c>
      <c r="AC114" s="209">
        <f t="shared" ca="1" si="4"/>
        <v>2.7625E-2</v>
      </c>
      <c r="AD114" s="118">
        <f t="shared" ca="1" si="5"/>
        <v>0</v>
      </c>
      <c r="AE114" s="118">
        <f t="shared" ca="1" si="6"/>
        <v>2.7625E-2</v>
      </c>
      <c r="AF114" s="118">
        <f t="shared" ca="1" si="7"/>
        <v>0.84243529411764695</v>
      </c>
      <c r="AG114" s="118">
        <f t="shared" ca="1" si="8"/>
        <v>1055.0097999999998</v>
      </c>
      <c r="AH114" s="204">
        <f t="shared" ca="1" si="11"/>
        <v>29.144645724999997</v>
      </c>
      <c r="AI114" s="259"/>
    </row>
    <row r="115" spans="11:35" x14ac:dyDescent="0.2">
      <c r="K115" s="170"/>
      <c r="L115" s="146"/>
      <c r="M115" s="265"/>
      <c r="N115" s="265"/>
      <c r="O115" s="265"/>
      <c r="P115" s="265"/>
      <c r="Q115" s="265"/>
      <c r="R115" s="117"/>
      <c r="S115" s="155"/>
      <c r="T115" s="238">
        <v>0.14000000000000001</v>
      </c>
      <c r="U115" s="209">
        <f t="shared" ca="1" si="2"/>
        <v>90.963600000000028</v>
      </c>
      <c r="V115" s="118">
        <f t="shared" ca="1" si="9"/>
        <v>0.10706499999999999</v>
      </c>
      <c r="W115" s="204">
        <f t="shared" ca="1" si="12"/>
        <v>9.739017834000002</v>
      </c>
      <c r="Y115" s="209">
        <f t="shared" ca="1" si="3"/>
        <v>90.963600000000028</v>
      </c>
      <c r="Z115" s="118">
        <f t="shared" ca="1" si="10"/>
        <v>0.10706499999999999</v>
      </c>
      <c r="AA115" s="204">
        <f t="shared" ca="1" si="13"/>
        <v>9.739017834000002</v>
      </c>
      <c r="AC115" s="209">
        <f t="shared" ca="1" si="4"/>
        <v>2.9750000000000002E-2</v>
      </c>
      <c r="AD115" s="118">
        <f t="shared" ca="1" si="5"/>
        <v>0</v>
      </c>
      <c r="AE115" s="118">
        <f t="shared" ca="1" si="6"/>
        <v>2.9750000000000002E-2</v>
      </c>
      <c r="AF115" s="118">
        <f t="shared" ca="1" si="7"/>
        <v>0.83103529411764698</v>
      </c>
      <c r="AG115" s="118">
        <f t="shared" ca="1" si="8"/>
        <v>1040.7331999999999</v>
      </c>
      <c r="AH115" s="204">
        <f t="shared" ca="1" si="11"/>
        <v>30.961812699999999</v>
      </c>
      <c r="AI115" s="259"/>
    </row>
    <row r="116" spans="11:35" x14ac:dyDescent="0.2">
      <c r="K116" s="170"/>
      <c r="L116" s="146"/>
      <c r="M116" s="265"/>
      <c r="N116" s="265"/>
      <c r="O116" s="265"/>
      <c r="P116" s="265"/>
      <c r="Q116" s="265"/>
      <c r="R116" s="117"/>
      <c r="S116" s="155"/>
      <c r="T116" s="238">
        <v>0.15</v>
      </c>
      <c r="U116" s="209">
        <f t="shared" ca="1" si="2"/>
        <v>97.461000000000013</v>
      </c>
      <c r="V116" s="118">
        <f t="shared" ca="1" si="9"/>
        <v>0.10596249999999999</v>
      </c>
      <c r="W116" s="204">
        <f t="shared" ca="1" si="12"/>
        <v>10.3272112125</v>
      </c>
      <c r="Y116" s="209">
        <f t="shared" ca="1" si="3"/>
        <v>97.461000000000013</v>
      </c>
      <c r="Z116" s="118">
        <f t="shared" ca="1" si="10"/>
        <v>0.10596249999999999</v>
      </c>
      <c r="AA116" s="204">
        <f t="shared" ca="1" si="13"/>
        <v>10.3272112125</v>
      </c>
      <c r="AC116" s="209">
        <f t="shared" ca="1" si="4"/>
        <v>3.1875000000000001E-2</v>
      </c>
      <c r="AD116" s="118">
        <f t="shared" ca="1" si="5"/>
        <v>0</v>
      </c>
      <c r="AE116" s="118">
        <f t="shared" ca="1" si="6"/>
        <v>3.1875000000000001E-2</v>
      </c>
      <c r="AF116" s="118">
        <f t="shared" ca="1" si="7"/>
        <v>0.81963529411764691</v>
      </c>
      <c r="AG116" s="118">
        <f t="shared" ca="1" si="8"/>
        <v>1026.4565999999998</v>
      </c>
      <c r="AH116" s="204">
        <f t="shared" ca="1" si="11"/>
        <v>32.718304124999996</v>
      </c>
      <c r="AI116" s="259"/>
    </row>
    <row r="117" spans="11:35" x14ac:dyDescent="0.2">
      <c r="K117" s="146"/>
      <c r="L117" s="146"/>
      <c r="M117" s="265"/>
      <c r="N117" s="265"/>
      <c r="O117" s="265"/>
      <c r="P117" s="265"/>
      <c r="Q117" s="265"/>
      <c r="R117" s="117"/>
      <c r="S117" s="155"/>
      <c r="T117" s="238">
        <v>0.16</v>
      </c>
      <c r="U117" s="209">
        <f t="shared" ca="1" si="2"/>
        <v>103.95840000000003</v>
      </c>
      <c r="V117" s="118">
        <f t="shared" ca="1" si="9"/>
        <v>0.10485999999999999</v>
      </c>
      <c r="W117" s="204">
        <f t="shared" ca="1" si="12"/>
        <v>10.901077824000001</v>
      </c>
      <c r="Y117" s="209">
        <f t="shared" ca="1" si="3"/>
        <v>103.95840000000003</v>
      </c>
      <c r="Z117" s="118">
        <f t="shared" ca="1" si="10"/>
        <v>0.10485999999999999</v>
      </c>
      <c r="AA117" s="204">
        <f t="shared" ca="1" si="13"/>
        <v>10.901077824000001</v>
      </c>
      <c r="AC117" s="209">
        <f t="shared" ca="1" si="4"/>
        <v>3.4000000000000002E-2</v>
      </c>
      <c r="AD117" s="118">
        <f t="shared" ca="1" si="5"/>
        <v>0</v>
      </c>
      <c r="AE117" s="118">
        <f t="shared" ca="1" si="6"/>
        <v>3.4000000000000002E-2</v>
      </c>
      <c r="AF117" s="118">
        <f t="shared" ca="1" si="7"/>
        <v>0.80823529411764694</v>
      </c>
      <c r="AG117" s="118">
        <f t="shared" ca="1" si="8"/>
        <v>1012.1799999999998</v>
      </c>
      <c r="AH117" s="204">
        <f t="shared" ca="1" si="11"/>
        <v>34.414119999999997</v>
      </c>
      <c r="AI117" s="259"/>
    </row>
    <row r="118" spans="11:35" x14ac:dyDescent="0.2">
      <c r="K118" s="146"/>
      <c r="L118" s="146"/>
      <c r="M118" s="265"/>
      <c r="N118" s="265"/>
      <c r="O118" s="265"/>
      <c r="P118" s="265"/>
      <c r="Q118" s="265"/>
      <c r="R118" s="117"/>
      <c r="S118" s="155"/>
      <c r="T118" s="238">
        <v>0.17</v>
      </c>
      <c r="U118" s="209">
        <f t="shared" ca="1" si="2"/>
        <v>110.45580000000002</v>
      </c>
      <c r="V118" s="118">
        <f t="shared" ca="1" si="9"/>
        <v>0.10375749999999999</v>
      </c>
      <c r="W118" s="204">
        <f t="shared" ca="1" si="12"/>
        <v>11.460617668500001</v>
      </c>
      <c r="Y118" s="209">
        <f t="shared" ca="1" si="3"/>
        <v>110.45580000000002</v>
      </c>
      <c r="Z118" s="118">
        <f t="shared" ca="1" si="10"/>
        <v>0.10375749999999999</v>
      </c>
      <c r="AA118" s="204">
        <f t="shared" ca="1" si="13"/>
        <v>11.460617668500001</v>
      </c>
      <c r="AC118" s="209">
        <f t="shared" ca="1" si="4"/>
        <v>3.6125000000000004E-2</v>
      </c>
      <c r="AD118" s="118">
        <f t="shared" ca="1" si="5"/>
        <v>0</v>
      </c>
      <c r="AE118" s="118">
        <f t="shared" ca="1" si="6"/>
        <v>3.6125000000000004E-2</v>
      </c>
      <c r="AF118" s="118">
        <f t="shared" ca="1" si="7"/>
        <v>0.79683529411764686</v>
      </c>
      <c r="AG118" s="118">
        <f t="shared" ca="1" si="8"/>
        <v>997.90339999999981</v>
      </c>
      <c r="AH118" s="204">
        <f t="shared" ca="1" si="11"/>
        <v>36.049260324999999</v>
      </c>
      <c r="AI118" s="259"/>
    </row>
    <row r="119" spans="11:35" x14ac:dyDescent="0.2">
      <c r="K119" s="146"/>
      <c r="L119" s="146"/>
      <c r="M119" s="265"/>
      <c r="N119" s="265"/>
      <c r="O119" s="265"/>
      <c r="P119" s="265"/>
      <c r="Q119" s="265"/>
      <c r="R119" s="117"/>
      <c r="S119" s="155"/>
      <c r="T119" s="238">
        <v>0.18</v>
      </c>
      <c r="U119" s="209">
        <f t="shared" ca="1" si="2"/>
        <v>116.95320000000002</v>
      </c>
      <c r="V119" s="118">
        <f t="shared" ca="1" si="9"/>
        <v>0.102655</v>
      </c>
      <c r="W119" s="204">
        <f t="shared" ca="1" si="12"/>
        <v>12.005830746000003</v>
      </c>
      <c r="Y119" s="209">
        <f t="shared" ca="1" si="3"/>
        <v>116.95320000000002</v>
      </c>
      <c r="Z119" s="118">
        <f t="shared" ca="1" si="10"/>
        <v>0.102655</v>
      </c>
      <c r="AA119" s="204">
        <f t="shared" ca="1" si="13"/>
        <v>12.005830746000003</v>
      </c>
      <c r="AC119" s="209">
        <f t="shared" ca="1" si="4"/>
        <v>3.8249999999999999E-2</v>
      </c>
      <c r="AD119" s="118">
        <f t="shared" ca="1" si="5"/>
        <v>0</v>
      </c>
      <c r="AE119" s="118">
        <f t="shared" ca="1" si="6"/>
        <v>3.8249999999999999E-2</v>
      </c>
      <c r="AF119" s="118">
        <f t="shared" ca="1" si="7"/>
        <v>0.78543529411764701</v>
      </c>
      <c r="AG119" s="118">
        <f t="shared" ca="1" si="8"/>
        <v>983.6268</v>
      </c>
      <c r="AH119" s="204">
        <f t="shared" ca="1" si="11"/>
        <v>37.623725100000001</v>
      </c>
      <c r="AI119" s="259"/>
    </row>
    <row r="120" spans="11:35" x14ac:dyDescent="0.2">
      <c r="K120" s="146"/>
      <c r="L120" s="146"/>
      <c r="M120" s="265"/>
      <c r="N120" s="265"/>
      <c r="O120" s="265"/>
      <c r="P120" s="265"/>
      <c r="Q120" s="265"/>
      <c r="R120" s="117"/>
      <c r="S120" s="155"/>
      <c r="T120" s="238">
        <v>0.19</v>
      </c>
      <c r="U120" s="209">
        <f t="shared" ca="1" si="2"/>
        <v>123.45060000000002</v>
      </c>
      <c r="V120" s="118">
        <f t="shared" ca="1" si="9"/>
        <v>0.10155249999999999</v>
      </c>
      <c r="W120" s="204">
        <f t="shared" ca="1" si="12"/>
        <v>12.536717056500001</v>
      </c>
      <c r="Y120" s="209">
        <f t="shared" ca="1" si="3"/>
        <v>123.45060000000002</v>
      </c>
      <c r="Z120" s="118">
        <f t="shared" ca="1" si="10"/>
        <v>0.10155249999999999</v>
      </c>
      <c r="AA120" s="204">
        <f t="shared" ca="1" si="13"/>
        <v>12.536717056500001</v>
      </c>
      <c r="AC120" s="209">
        <f t="shared" ca="1" si="4"/>
        <v>4.0375000000000001E-2</v>
      </c>
      <c r="AD120" s="118">
        <f t="shared" ca="1" si="5"/>
        <v>0</v>
      </c>
      <c r="AE120" s="118">
        <f t="shared" ca="1" si="6"/>
        <v>4.0375000000000001E-2</v>
      </c>
      <c r="AF120" s="118">
        <f t="shared" ca="1" si="7"/>
        <v>0.77403529411764704</v>
      </c>
      <c r="AG120" s="118">
        <f t="shared" ca="1" si="8"/>
        <v>969.35020000000009</v>
      </c>
      <c r="AH120" s="204">
        <f t="shared" ca="1" si="11"/>
        <v>39.137514325000005</v>
      </c>
      <c r="AI120" s="259"/>
    </row>
    <row r="121" spans="11:35" x14ac:dyDescent="0.2">
      <c r="K121" s="146"/>
      <c r="L121" s="146"/>
      <c r="M121" s="265"/>
      <c r="N121" s="265"/>
      <c r="O121" s="265"/>
      <c r="P121" s="265"/>
      <c r="Q121" s="265"/>
      <c r="R121" s="117"/>
      <c r="S121" s="155"/>
      <c r="T121" s="238">
        <v>0.2</v>
      </c>
      <c r="U121" s="209">
        <f t="shared" ca="1" si="2"/>
        <v>129.94800000000004</v>
      </c>
      <c r="V121" s="118">
        <f t="shared" ca="1" si="9"/>
        <v>0.10044999999999998</v>
      </c>
      <c r="W121" s="204">
        <f t="shared" ca="1" si="12"/>
        <v>13.053276600000002</v>
      </c>
      <c r="Y121" s="209">
        <f t="shared" ca="1" si="3"/>
        <v>129.94800000000004</v>
      </c>
      <c r="Z121" s="118">
        <f t="shared" ca="1" si="10"/>
        <v>0.10044999999999998</v>
      </c>
      <c r="AA121" s="204">
        <f t="shared" ca="1" si="13"/>
        <v>13.053276600000002</v>
      </c>
      <c r="AC121" s="209">
        <f t="shared" ca="1" si="4"/>
        <v>4.2500000000000003E-2</v>
      </c>
      <c r="AD121" s="118">
        <f t="shared" ca="1" si="5"/>
        <v>0</v>
      </c>
      <c r="AE121" s="118">
        <f t="shared" ca="1" si="6"/>
        <v>4.2500000000000003E-2</v>
      </c>
      <c r="AF121" s="118">
        <f t="shared" ca="1" si="7"/>
        <v>0.76263529411764697</v>
      </c>
      <c r="AG121" s="118">
        <f t="shared" ca="1" si="8"/>
        <v>955.07359999999994</v>
      </c>
      <c r="AH121" s="204">
        <f t="shared" ca="1" si="11"/>
        <v>40.590628000000002</v>
      </c>
      <c r="AI121" s="259"/>
    </row>
    <row r="122" spans="11:35" x14ac:dyDescent="0.2">
      <c r="K122" s="146"/>
      <c r="L122" s="146"/>
      <c r="M122" s="265"/>
      <c r="N122" s="265"/>
      <c r="O122" s="265"/>
      <c r="P122" s="265"/>
      <c r="Q122" s="265"/>
      <c r="R122" s="117"/>
      <c r="S122" s="155"/>
      <c r="T122" s="238">
        <v>0.21</v>
      </c>
      <c r="U122" s="209">
        <f t="shared" ca="1" si="2"/>
        <v>136.44540000000003</v>
      </c>
      <c r="V122" s="118">
        <f t="shared" ca="1" si="9"/>
        <v>9.9347499999999991E-2</v>
      </c>
      <c r="W122" s="204">
        <f t="shared" ca="1" si="12"/>
        <v>13.555509376500002</v>
      </c>
      <c r="Y122" s="209">
        <f t="shared" ca="1" si="3"/>
        <v>136.44540000000003</v>
      </c>
      <c r="Z122" s="118">
        <f t="shared" ca="1" si="10"/>
        <v>9.9347499999999991E-2</v>
      </c>
      <c r="AA122" s="204">
        <f t="shared" ca="1" si="13"/>
        <v>13.555509376500002</v>
      </c>
      <c r="AC122" s="209">
        <f t="shared" ca="1" si="4"/>
        <v>4.4624999999999998E-2</v>
      </c>
      <c r="AD122" s="118">
        <f t="shared" ca="1" si="5"/>
        <v>0</v>
      </c>
      <c r="AE122" s="118">
        <f t="shared" ca="1" si="6"/>
        <v>4.4624999999999998E-2</v>
      </c>
      <c r="AF122" s="118">
        <f t="shared" ca="1" si="7"/>
        <v>0.751235294117647</v>
      </c>
      <c r="AG122" s="118">
        <f t="shared" ca="1" si="8"/>
        <v>940.79700000000003</v>
      </c>
      <c r="AH122" s="204">
        <f t="shared" ca="1" si="11"/>
        <v>41.983066125000001</v>
      </c>
      <c r="AI122" s="259"/>
    </row>
    <row r="123" spans="11:35" x14ac:dyDescent="0.2">
      <c r="K123" s="384" t="s">
        <v>567</v>
      </c>
      <c r="L123" s="382"/>
      <c r="M123" s="383"/>
      <c r="N123" s="383"/>
      <c r="O123" s="383"/>
      <c r="P123" s="383"/>
      <c r="Q123" s="383"/>
      <c r="R123" s="117"/>
      <c r="S123" s="155"/>
      <c r="T123" s="238">
        <v>0.22</v>
      </c>
      <c r="U123" s="209">
        <f t="shared" ca="1" si="2"/>
        <v>142.94280000000003</v>
      </c>
      <c r="V123" s="118">
        <f t="shared" ca="1" si="9"/>
        <v>9.8244999999999999E-2</v>
      </c>
      <c r="W123" s="204">
        <f t="shared" ca="1" si="12"/>
        <v>14.043415386000003</v>
      </c>
      <c r="Y123" s="209">
        <f t="shared" ca="1" si="3"/>
        <v>142.94280000000003</v>
      </c>
      <c r="Z123" s="118">
        <f t="shared" ca="1" si="10"/>
        <v>9.8244999999999999E-2</v>
      </c>
      <c r="AA123" s="204">
        <f t="shared" ca="1" si="13"/>
        <v>14.043415386000003</v>
      </c>
      <c r="AC123" s="209">
        <f t="shared" ca="1" si="4"/>
        <v>4.675E-2</v>
      </c>
      <c r="AD123" s="118">
        <f t="shared" ca="1" si="5"/>
        <v>0</v>
      </c>
      <c r="AE123" s="118">
        <f t="shared" ca="1" si="6"/>
        <v>4.675E-2</v>
      </c>
      <c r="AF123" s="118">
        <f t="shared" ca="1" si="7"/>
        <v>0.73983529411764704</v>
      </c>
      <c r="AG123" s="118">
        <f t="shared" ca="1" si="8"/>
        <v>926.52039999999988</v>
      </c>
      <c r="AH123" s="204">
        <f t="shared" ca="1" si="11"/>
        <v>43.314828699999993</v>
      </c>
      <c r="AI123" s="259"/>
    </row>
    <row r="124" spans="11:35" x14ac:dyDescent="0.2">
      <c r="K124" s="385" t="s">
        <v>589</v>
      </c>
      <c r="L124" s="146"/>
      <c r="M124" s="265"/>
      <c r="N124" s="265"/>
      <c r="O124" s="265"/>
      <c r="P124" s="265"/>
      <c r="Q124" s="265"/>
      <c r="R124" s="117"/>
      <c r="S124" s="155"/>
      <c r="T124" s="238">
        <v>0.23</v>
      </c>
      <c r="U124" s="209">
        <f t="shared" ca="1" si="2"/>
        <v>149.44020000000003</v>
      </c>
      <c r="V124" s="118">
        <f t="shared" ca="1" si="9"/>
        <v>9.7142499999999993E-2</v>
      </c>
      <c r="W124" s="204">
        <f t="shared" ca="1" si="12"/>
        <v>14.516994628500003</v>
      </c>
      <c r="Y124" s="209">
        <f t="shared" ca="1" si="3"/>
        <v>149.44020000000003</v>
      </c>
      <c r="Z124" s="118">
        <f t="shared" ca="1" si="10"/>
        <v>9.7142499999999993E-2</v>
      </c>
      <c r="AA124" s="204">
        <f t="shared" ca="1" si="13"/>
        <v>14.516994628500003</v>
      </c>
      <c r="AC124" s="209">
        <f t="shared" ca="1" si="4"/>
        <v>4.8875000000000002E-2</v>
      </c>
      <c r="AD124" s="118">
        <f t="shared" ca="1" si="5"/>
        <v>0</v>
      </c>
      <c r="AE124" s="118">
        <f t="shared" ca="1" si="6"/>
        <v>4.8875000000000002E-2</v>
      </c>
      <c r="AF124" s="118">
        <f t="shared" ca="1" si="7"/>
        <v>0.72843529411764696</v>
      </c>
      <c r="AG124" s="118">
        <f t="shared" ca="1" si="8"/>
        <v>912.24379999999985</v>
      </c>
      <c r="AH124" s="204">
        <f t="shared" ca="1" si="11"/>
        <v>44.585915724999992</v>
      </c>
      <c r="AI124" s="259"/>
    </row>
    <row r="125" spans="11:35" x14ac:dyDescent="0.2">
      <c r="K125" s="385" t="s">
        <v>571</v>
      </c>
      <c r="L125" s="146"/>
      <c r="M125" s="265"/>
      <c r="N125" s="265"/>
      <c r="O125" s="265"/>
      <c r="P125" s="265"/>
      <c r="Q125" s="265"/>
      <c r="R125" s="117"/>
      <c r="S125" s="155"/>
      <c r="T125" s="238">
        <v>0.24</v>
      </c>
      <c r="U125" s="209">
        <f t="shared" ca="1" si="2"/>
        <v>155.93760000000003</v>
      </c>
      <c r="V125" s="118">
        <f t="shared" ca="1" si="9"/>
        <v>9.6039999999999986E-2</v>
      </c>
      <c r="W125" s="204">
        <f t="shared" ca="1" si="12"/>
        <v>14.976247104</v>
      </c>
      <c r="Y125" s="209">
        <f t="shared" ca="1" si="3"/>
        <v>155.93760000000003</v>
      </c>
      <c r="Z125" s="118">
        <f t="shared" ca="1" si="10"/>
        <v>9.6039999999999986E-2</v>
      </c>
      <c r="AA125" s="204">
        <f t="shared" ca="1" si="13"/>
        <v>14.976247104</v>
      </c>
      <c r="AC125" s="209">
        <f t="shared" ca="1" si="4"/>
        <v>5.0999999999999997E-2</v>
      </c>
      <c r="AD125" s="118">
        <f t="shared" ca="1" si="5"/>
        <v>0</v>
      </c>
      <c r="AE125" s="118">
        <f t="shared" ca="1" si="6"/>
        <v>5.0999999999999997E-2</v>
      </c>
      <c r="AF125" s="118">
        <f t="shared" ca="1" si="7"/>
        <v>0.71703529411764699</v>
      </c>
      <c r="AG125" s="118">
        <f t="shared" ca="1" si="8"/>
        <v>897.96719999999993</v>
      </c>
      <c r="AH125" s="204">
        <f t="shared" ca="1" si="11"/>
        <v>45.796327199999993</v>
      </c>
      <c r="AI125" s="259"/>
    </row>
    <row r="126" spans="11:35" x14ac:dyDescent="0.2">
      <c r="K126" s="385" t="s">
        <v>572</v>
      </c>
      <c r="L126" s="146"/>
      <c r="M126" s="265"/>
      <c r="N126" s="265"/>
      <c r="O126" s="265"/>
      <c r="P126" s="265"/>
      <c r="Q126" s="265"/>
      <c r="R126" s="117"/>
      <c r="S126" s="155"/>
      <c r="T126" s="238">
        <v>0.25</v>
      </c>
      <c r="U126" s="209">
        <f t="shared" ca="1" si="2"/>
        <v>162.43500000000003</v>
      </c>
      <c r="V126" s="118">
        <f t="shared" ca="1" si="9"/>
        <v>9.4937499999999994E-2</v>
      </c>
      <c r="W126" s="204">
        <f t="shared" ca="1" si="12"/>
        <v>15.421172812500002</v>
      </c>
      <c r="Y126" s="209">
        <f t="shared" ca="1" si="3"/>
        <v>162.43500000000003</v>
      </c>
      <c r="Z126" s="118">
        <f t="shared" ca="1" si="10"/>
        <v>9.4937499999999994E-2</v>
      </c>
      <c r="AA126" s="204">
        <f t="shared" ca="1" si="13"/>
        <v>15.421172812500002</v>
      </c>
      <c r="AC126" s="209">
        <f t="shared" ca="1" si="4"/>
        <v>5.3124999999999999E-2</v>
      </c>
      <c r="AD126" s="118">
        <f t="shared" ca="1" si="5"/>
        <v>0</v>
      </c>
      <c r="AE126" s="118">
        <f t="shared" ca="1" si="6"/>
        <v>5.3124999999999999E-2</v>
      </c>
      <c r="AF126" s="118">
        <f t="shared" ca="1" si="7"/>
        <v>0.70563529411764703</v>
      </c>
      <c r="AG126" s="118">
        <f t="shared" ca="1" si="8"/>
        <v>883.6905999999999</v>
      </c>
      <c r="AH126" s="204">
        <f t="shared" ca="1" si="11"/>
        <v>46.946063124999995</v>
      </c>
      <c r="AI126" s="259"/>
    </row>
    <row r="127" spans="11:35" x14ac:dyDescent="0.2">
      <c r="K127" s="385" t="s">
        <v>573</v>
      </c>
      <c r="L127" s="146"/>
      <c r="M127" s="265"/>
      <c r="N127" s="265"/>
      <c r="O127" s="265"/>
      <c r="P127" s="265"/>
      <c r="Q127" s="265"/>
      <c r="R127" s="117"/>
      <c r="S127" s="155"/>
      <c r="T127" s="238">
        <v>0.26</v>
      </c>
      <c r="U127" s="209">
        <f t="shared" ca="1" si="2"/>
        <v>168.93240000000003</v>
      </c>
      <c r="V127" s="118">
        <f t="shared" ca="1" si="9"/>
        <v>9.3834999999999988E-2</v>
      </c>
      <c r="W127" s="204">
        <f t="shared" ca="1" si="12"/>
        <v>15.851771754000001</v>
      </c>
      <c r="Y127" s="209">
        <f t="shared" ca="1" si="3"/>
        <v>168.93240000000003</v>
      </c>
      <c r="Z127" s="118">
        <f t="shared" ca="1" si="10"/>
        <v>9.3834999999999988E-2</v>
      </c>
      <c r="AA127" s="204">
        <f t="shared" ca="1" si="13"/>
        <v>15.851771754000001</v>
      </c>
      <c r="AC127" s="209">
        <f t="shared" ca="1" si="4"/>
        <v>5.525E-2</v>
      </c>
      <c r="AD127" s="118">
        <f t="shared" ca="1" si="5"/>
        <v>0</v>
      </c>
      <c r="AE127" s="118">
        <f t="shared" ca="1" si="6"/>
        <v>5.525E-2</v>
      </c>
      <c r="AF127" s="118">
        <f t="shared" ca="1" si="7"/>
        <v>0.69423529411764695</v>
      </c>
      <c r="AG127" s="118">
        <f t="shared" ca="1" si="8"/>
        <v>869.41399999999976</v>
      </c>
      <c r="AH127" s="204">
        <f t="shared" ca="1" si="11"/>
        <v>48.03512349999999</v>
      </c>
      <c r="AI127" s="259"/>
    </row>
    <row r="128" spans="11:35" x14ac:dyDescent="0.2">
      <c r="K128" s="385" t="s">
        <v>583</v>
      </c>
      <c r="L128" s="146"/>
      <c r="M128" s="265"/>
      <c r="N128" s="265"/>
      <c r="O128" s="265"/>
      <c r="P128" s="265"/>
      <c r="Q128" s="265"/>
      <c r="R128" s="117"/>
      <c r="S128" s="155"/>
      <c r="T128" s="238">
        <v>0.27</v>
      </c>
      <c r="U128" s="209">
        <f t="shared" ca="1" si="2"/>
        <v>175.42980000000006</v>
      </c>
      <c r="V128" s="118">
        <f t="shared" ca="1" si="9"/>
        <v>9.2732499999999995E-2</v>
      </c>
      <c r="W128" s="204">
        <f t="shared" ca="1" si="12"/>
        <v>16.268043928500006</v>
      </c>
      <c r="Y128" s="209">
        <f t="shared" ca="1" si="3"/>
        <v>175.42980000000006</v>
      </c>
      <c r="Z128" s="118">
        <f t="shared" ca="1" si="10"/>
        <v>9.2732499999999995E-2</v>
      </c>
      <c r="AA128" s="204">
        <f t="shared" ca="1" si="13"/>
        <v>16.268043928500006</v>
      </c>
      <c r="AC128" s="209">
        <f t="shared" ca="1" si="4"/>
        <v>5.7375000000000002E-2</v>
      </c>
      <c r="AD128" s="118">
        <f t="shared" ca="1" si="5"/>
        <v>0</v>
      </c>
      <c r="AE128" s="118">
        <f t="shared" ca="1" si="6"/>
        <v>5.7375000000000002E-2</v>
      </c>
      <c r="AF128" s="118">
        <f t="shared" ca="1" si="7"/>
        <v>0.68283529411764698</v>
      </c>
      <c r="AG128" s="118">
        <f t="shared" ca="1" si="8"/>
        <v>855.13739999999984</v>
      </c>
      <c r="AH128" s="204">
        <f t="shared" ca="1" si="11"/>
        <v>49.063508324999994</v>
      </c>
      <c r="AI128" s="259"/>
    </row>
    <row r="129" spans="3:35" x14ac:dyDescent="0.2">
      <c r="G129" s="64" t="b">
        <v>1</v>
      </c>
      <c r="K129" s="304" t="s">
        <v>268</v>
      </c>
      <c r="L129" s="305" t="s">
        <v>547</v>
      </c>
      <c r="M129" s="306"/>
      <c r="N129" s="306"/>
      <c r="O129" s="306"/>
      <c r="P129" s="306"/>
      <c r="Q129" s="306"/>
      <c r="R129" s="117"/>
      <c r="S129" s="155"/>
      <c r="T129" s="238">
        <v>0.28000000000000003</v>
      </c>
      <c r="U129" s="209">
        <f t="shared" ca="1" si="2"/>
        <v>181.92720000000006</v>
      </c>
      <c r="V129" s="118">
        <f t="shared" ca="1" si="9"/>
        <v>9.1629999999999989E-2</v>
      </c>
      <c r="W129" s="204">
        <f t="shared" ca="1" si="12"/>
        <v>16.669989336000004</v>
      </c>
      <c r="Y129" s="209">
        <f t="shared" ca="1" si="3"/>
        <v>181.92720000000006</v>
      </c>
      <c r="Z129" s="118">
        <f t="shared" ca="1" si="10"/>
        <v>9.1629999999999989E-2</v>
      </c>
      <c r="AA129" s="204">
        <f t="shared" ca="1" si="13"/>
        <v>16.669989336000004</v>
      </c>
      <c r="AC129" s="209">
        <f t="shared" ca="1" si="4"/>
        <v>5.9500000000000004E-2</v>
      </c>
      <c r="AD129" s="118">
        <f t="shared" ca="1" si="5"/>
        <v>0</v>
      </c>
      <c r="AE129" s="118">
        <f t="shared" ca="1" si="6"/>
        <v>5.9500000000000004E-2</v>
      </c>
      <c r="AF129" s="118">
        <f t="shared" ca="1" si="7"/>
        <v>0.67143529411764691</v>
      </c>
      <c r="AG129" s="118">
        <f t="shared" ca="1" si="8"/>
        <v>840.8607999999997</v>
      </c>
      <c r="AH129" s="204">
        <f t="shared" ca="1" si="11"/>
        <v>50.031217599999984</v>
      </c>
      <c r="AI129" s="259"/>
    </row>
    <row r="130" spans="3:35" x14ac:dyDescent="0.2">
      <c r="K130" s="140" t="s">
        <v>269</v>
      </c>
      <c r="L130" s="140" t="str">
        <f ca="1">IF(rF1.CheckWoodenSlabCalc,rP2.OutputEccentricityWoodenSlab,"")</f>
        <v/>
      </c>
      <c r="M130" s="140"/>
      <c r="N130" s="140"/>
      <c r="O130" s="140"/>
      <c r="P130" s="140"/>
      <c r="Q130" s="141"/>
      <c r="R130" s="117"/>
      <c r="S130" s="155"/>
      <c r="T130" s="238">
        <v>0.28999999999999998</v>
      </c>
      <c r="U130" s="209">
        <f t="shared" ca="1" si="2"/>
        <v>188.42460000000003</v>
      </c>
      <c r="V130" s="118">
        <f t="shared" ca="1" si="9"/>
        <v>9.0527499999999997E-2</v>
      </c>
      <c r="W130" s="204">
        <f t="shared" ca="1" si="12"/>
        <v>17.057607976500002</v>
      </c>
      <c r="Y130" s="209">
        <f t="shared" ca="1" si="3"/>
        <v>188.42460000000003</v>
      </c>
      <c r="Z130" s="118">
        <f t="shared" ca="1" si="10"/>
        <v>9.0527499999999997E-2</v>
      </c>
      <c r="AA130" s="204">
        <f t="shared" ca="1" si="13"/>
        <v>17.057607976500002</v>
      </c>
      <c r="AC130" s="209">
        <f t="shared" ca="1" si="4"/>
        <v>6.1624999999999992E-2</v>
      </c>
      <c r="AD130" s="118">
        <f t="shared" ca="1" si="5"/>
        <v>0</v>
      </c>
      <c r="AE130" s="118">
        <f t="shared" ca="1" si="6"/>
        <v>6.1624999999999992E-2</v>
      </c>
      <c r="AF130" s="118">
        <f t="shared" ca="1" si="7"/>
        <v>0.66003529411764694</v>
      </c>
      <c r="AG130" s="118">
        <f t="shared" ca="1" si="8"/>
        <v>826.58419999999978</v>
      </c>
      <c r="AH130" s="204">
        <f t="shared" ca="1" si="11"/>
        <v>50.938251324999982</v>
      </c>
      <c r="AI130" s="259"/>
    </row>
    <row r="131" spans="3:35" x14ac:dyDescent="0.2">
      <c r="K131" s="142" t="s">
        <v>270</v>
      </c>
      <c r="L131" s="142"/>
      <c r="M131" s="143" t="s">
        <v>485</v>
      </c>
      <c r="N131" s="143" t="s">
        <v>212</v>
      </c>
      <c r="O131" s="143" t="s">
        <v>486</v>
      </c>
      <c r="P131" s="143"/>
      <c r="Q131" s="192"/>
      <c r="S131" s="155"/>
      <c r="T131" s="238">
        <v>0.3</v>
      </c>
      <c r="U131" s="209">
        <f t="shared" ca="1" si="2"/>
        <v>194.92200000000003</v>
      </c>
      <c r="V131" s="118">
        <f t="shared" ca="1" si="9"/>
        <v>8.9424999999999991E-2</v>
      </c>
      <c r="W131" s="204">
        <f t="shared" ca="1" si="12"/>
        <v>17.430899849999999</v>
      </c>
      <c r="Y131" s="209">
        <f t="shared" ca="1" si="3"/>
        <v>194.92200000000003</v>
      </c>
      <c r="Z131" s="118">
        <f t="shared" ca="1" si="10"/>
        <v>8.9424999999999991E-2</v>
      </c>
      <c r="AA131" s="204">
        <f t="shared" ca="1" si="13"/>
        <v>17.430899849999999</v>
      </c>
      <c r="AC131" s="209">
        <f t="shared" ca="1" si="4"/>
        <v>6.3750000000000001E-2</v>
      </c>
      <c r="AD131" s="118">
        <f t="shared" ca="1" si="5"/>
        <v>0</v>
      </c>
      <c r="AE131" s="118">
        <f t="shared" ca="1" si="6"/>
        <v>6.3750000000000001E-2</v>
      </c>
      <c r="AF131" s="118">
        <f t="shared" ca="1" si="7"/>
        <v>0.64863529411764698</v>
      </c>
      <c r="AG131" s="118">
        <f t="shared" ca="1" si="8"/>
        <v>812.30759999999987</v>
      </c>
      <c r="AH131" s="204">
        <f t="shared" ca="1" si="11"/>
        <v>51.784609499999995</v>
      </c>
      <c r="AI131" s="259"/>
    </row>
    <row r="132" spans="3:35" x14ac:dyDescent="0.2">
      <c r="C132" s="194"/>
      <c r="K132" s="146" t="s">
        <v>213</v>
      </c>
      <c r="L132" s="146"/>
      <c r="M132" s="307" t="str">
        <f ca="1">OFFSET(rL2.MainGroupsHead01,rF1.MainGroupSelection,0,1,1)</f>
        <v>Betonwand</v>
      </c>
      <c r="N132" s="307" t="str">
        <f ca="1">OFFSET(rL2.MainGroupsHead02,rF1.MainGroupSelection,0,1,1)</f>
        <v>MFH/Objektbau Mineralwolle verfüllt</v>
      </c>
      <c r="O132" s="307" t="str">
        <f ca="1">OFFSET(rL2.MainGroupsHead03,rF1.MainGroupSelection,0,1,1)</f>
        <v>MFH/Objektbau Mineralwolle verfüllt</v>
      </c>
      <c r="P132" s="146"/>
      <c r="Q132" s="146"/>
      <c r="S132" s="155"/>
      <c r="T132" s="238">
        <v>0.31</v>
      </c>
      <c r="U132" s="209">
        <f t="shared" ref="U132:U163" ca="1" si="14">IF(rF1.CheckWoodenSlabCalc,0,rF1.PlotAxForceFactor*rF1.PlotAxResistanceMaxTop)</f>
        <v>201.41940000000002</v>
      </c>
      <c r="V132" s="118">
        <f t="shared" ca="1" si="9"/>
        <v>8.8322499999999998E-2</v>
      </c>
      <c r="W132" s="204">
        <f t="shared" ca="1" si="12"/>
        <v>17.789864956500001</v>
      </c>
      <c r="Y132" s="209">
        <f t="shared" ref="Y132:Y163" ca="1" si="15">IF(rF1.CheckWoodenSlabCalc,0,rF1.PlotAxForceFactor*rF1.PlotAxResistanceMaxBottom)</f>
        <v>201.41940000000002</v>
      </c>
      <c r="Z132" s="118">
        <f t="shared" ca="1" si="10"/>
        <v>8.8322499999999998E-2</v>
      </c>
      <c r="AA132" s="204">
        <f t="shared" ca="1" si="13"/>
        <v>17.789864956500001</v>
      </c>
      <c r="AC132" s="209">
        <f t="shared" ca="1" si="4"/>
        <v>6.5875000000000003E-2</v>
      </c>
      <c r="AD132" s="118">
        <f t="shared" ca="1" si="5"/>
        <v>0</v>
      </c>
      <c r="AE132" s="118">
        <f t="shared" ca="1" si="6"/>
        <v>6.5875000000000003E-2</v>
      </c>
      <c r="AF132" s="118">
        <f t="shared" ref="AF132:AF163" ca="1" si="16">MIN(1.14*(1-2*rF1.PlotExcentricityTotalMiddle/rF1.WallThickness02)-0.024*rF1.WallHeightEffective/rF1.WallThickness02,1-2*rF1.PlotExcentricityTotalMiddle/rF1.WallThickness02)</f>
        <v>0.6372352941176469</v>
      </c>
      <c r="AG132" s="118">
        <f t="shared" ref="AG132:AG163" ca="1" si="17">IF(rF1.CheckWoodenSlabCalc,0,rF1.PlotReductionParameterMiddle*rF1.WallThickness02*rF1.ReductionMasonryStrenghtArea02*rF1.ReductionMasonryStrengthLongTerm*rF1.MasonryStrenghtChar02/rF1.SafetyFactorMaterial02*1000)</f>
        <v>798.03099999999984</v>
      </c>
      <c r="AH132" s="204">
        <f t="shared" ca="1" si="11"/>
        <v>52.570292124999995</v>
      </c>
      <c r="AI132" s="259"/>
    </row>
    <row r="133" spans="3:35" x14ac:dyDescent="0.2">
      <c r="C133" s="308">
        <v>0</v>
      </c>
      <c r="K133" s="266" t="s">
        <v>271</v>
      </c>
      <c r="L133" s="266"/>
      <c r="M133" s="309" t="str">
        <f ca="1">IF(rF1.CheckConcreteWall,"-",OFFSET(INDIRECT(rF1.BrickListNumber),MIN(rF1.BrickProductSelection*1,COUNTA(rF1.BrickList01)),rF1.ColumnPlacementFactor,1,1))</f>
        <v>-</v>
      </c>
      <c r="N133" s="309" t="str">
        <f ca="1">OFFSET(INDIRECT(rF1.BrickListNumber),MIN(rF1.BrickProductSelection*1,COUNTA(rF1.BrickList02)),rF1.ColumnPlacementFactor,1,1)</f>
        <v>S10-42,5-MW</v>
      </c>
      <c r="O133" s="309" t="str">
        <f ca="1">OFFSET(INDIRECT(rF1.BrickListNumber),MIN(rF1.BrickProductSelection*1,COUNTA(rF1.BrickList03)),rF1.ColumnPlacementFactor,1,1)</f>
        <v>S7,5-36,5-MW</v>
      </c>
      <c r="P133" s="266"/>
      <c r="Q133" s="266"/>
      <c r="S133" s="155"/>
      <c r="T133" s="238">
        <v>0.32</v>
      </c>
      <c r="U133" s="209">
        <f t="shared" ca="1" si="14"/>
        <v>207.91680000000005</v>
      </c>
      <c r="V133" s="118">
        <f t="shared" ref="V133:V164" ca="1" si="18">rF1.PlotWallThicknessNettoTop/2-rF1.PlotAxForceTop*rF1.SafetyFactorMaterial02/(1000*2*rF1.MasonryStrenghtChar02*rF1.ReductionMasonryStrenghtArea02*rF1.ReductionMasonryStrengthLongTerm)</f>
        <v>8.7219999999999992E-2</v>
      </c>
      <c r="W133" s="204">
        <f t="shared" ref="W133:W164" ca="1" si="19">rF1.PlotAxForceTop*rF1.PlotExcentricityTop</f>
        <v>18.134503296000002</v>
      </c>
      <c r="Y133" s="209">
        <f t="shared" ca="1" si="15"/>
        <v>207.91680000000005</v>
      </c>
      <c r="Z133" s="118">
        <f t="shared" ref="Z133:Z164" ca="1" si="20">rF1.PlotWallThicknessNettoBottom/2-rF1.PlotAxForceBottom*rF1.SafetyFactorMaterial02/(1000*2*rF1.MasonryStrenghtChar02*rF1.ReductionMasonryStrenghtArea02*rF1.ReductionMasonryStrengthLongTerm)</f>
        <v>8.7219999999999992E-2</v>
      </c>
      <c r="AA133" s="204">
        <f t="shared" ref="AA133:AA164" ca="1" si="21">rF1.PlotAxForceBottom*rF1.PlotExcentricityBottom</f>
        <v>18.134503296000002</v>
      </c>
      <c r="AC133" s="209">
        <f t="shared" ref="AC133:AC164" ca="1" si="22">rF1.PlotAxForceFactor*rF1.PlotExcentricityLoadMax</f>
        <v>6.8000000000000005E-2</v>
      </c>
      <c r="AD133" s="118">
        <f t="shared" ref="AD133:AD164" ca="1" si="23">IF(rF1.WallSlenderness02&lt;=rP1.MaxSlendernessCreepEcc,0,0.002*rP1.CreepCoefficient*rF1.WallHeightBuckling/rF1.WallHeight02*SQRT(rF1.WallHeight02*rF1.PlotExcentricityLoadMiddle))</f>
        <v>0</v>
      </c>
      <c r="AE133" s="118">
        <f t="shared" ref="AE133:AE164" ca="1" si="24">MAX(rF1.PlotExcentricityCreepMiddle+rF1.PlotExcentricityLoadMiddle,0.05*rF1.WallThickness02)</f>
        <v>6.8000000000000005E-2</v>
      </c>
      <c r="AF133" s="118">
        <f t="shared" ca="1" si="16"/>
        <v>0.62583529411764693</v>
      </c>
      <c r="AG133" s="118">
        <f t="shared" ca="1" si="17"/>
        <v>783.75439999999981</v>
      </c>
      <c r="AH133" s="204">
        <f t="shared" ref="AH133:AH164" ca="1" si="25">rF1.PlotExcentricityTotalMiddle*rF1.PlotAxForceMiddle</f>
        <v>53.295299199999988</v>
      </c>
      <c r="AI133" s="259"/>
    </row>
    <row r="134" spans="3:35" x14ac:dyDescent="0.2">
      <c r="C134" s="308">
        <v>7</v>
      </c>
      <c r="K134" s="146" t="s">
        <v>463</v>
      </c>
      <c r="L134" s="146"/>
      <c r="M134" s="310" t="str">
        <f ca="1">IF(rF1.CheckConcreteWall,OFFSET(rD3.Knoten,MIN(rF1.ConcreteFillSelection*1,COUNTA(rF1.ConcreteFillList01)),0,1,1),IF(rF1.CheckFoundation=1,"-",OFFSET(INDIRECT(rF1.BrickListNumber),MIN(rF1.BrickProductSelection*1,COUNTA(rF1.BrickList01)),rF1.ColumnPlacementFactor,1,1)))</f>
        <v>C20/25</v>
      </c>
      <c r="N134" s="310">
        <f ca="1">OFFSET(INDIRECT(rF1.BrickListNumber),MIN(rF1.BrickProductSelection*1,COUNTA(rF1.BrickList02)),rF1.ColumnPlacementFactor,1,1)</f>
        <v>12</v>
      </c>
      <c r="O134" s="310">
        <f ca="1">OFFSET(INDIRECT(rF1.BrickListNumber),MIN(rF1.BrickProductSelection*1,COUNTA(rF1.BrickList03)),rF1.ColumnPlacementFactor,1,1)</f>
        <v>10</v>
      </c>
      <c r="P134" s="146"/>
      <c r="Q134" s="146"/>
      <c r="R134" s="402"/>
      <c r="S134" s="155"/>
      <c r="T134" s="238">
        <v>0.33</v>
      </c>
      <c r="U134" s="209">
        <f t="shared" ca="1" si="14"/>
        <v>214.41420000000005</v>
      </c>
      <c r="V134" s="118">
        <f t="shared" ca="1" si="18"/>
        <v>8.6117499999999986E-2</v>
      </c>
      <c r="W134" s="204">
        <f t="shared" ca="1" si="19"/>
        <v>18.4648148685</v>
      </c>
      <c r="Y134" s="209">
        <f t="shared" ca="1" si="15"/>
        <v>214.41420000000005</v>
      </c>
      <c r="Z134" s="118">
        <f t="shared" ca="1" si="20"/>
        <v>8.6117499999999986E-2</v>
      </c>
      <c r="AA134" s="204">
        <f t="shared" ca="1" si="21"/>
        <v>18.4648148685</v>
      </c>
      <c r="AC134" s="209">
        <f t="shared" ca="1" si="22"/>
        <v>7.0125000000000007E-2</v>
      </c>
      <c r="AD134" s="118">
        <f t="shared" ca="1" si="23"/>
        <v>0</v>
      </c>
      <c r="AE134" s="118">
        <f t="shared" ca="1" si="24"/>
        <v>7.0125000000000007E-2</v>
      </c>
      <c r="AF134" s="118">
        <f t="shared" ca="1" si="16"/>
        <v>0.61443529411764686</v>
      </c>
      <c r="AG134" s="118">
        <f t="shared" ca="1" si="17"/>
        <v>769.47779999999977</v>
      </c>
      <c r="AH134" s="204">
        <f t="shared" ca="1" si="25"/>
        <v>53.95963072499999</v>
      </c>
      <c r="AI134" s="259"/>
    </row>
    <row r="135" spans="3:35" x14ac:dyDescent="0.2">
      <c r="C135" s="308">
        <v>6</v>
      </c>
      <c r="K135" s="311" t="s">
        <v>464</v>
      </c>
      <c r="L135" s="266"/>
      <c r="M135" s="312" t="str">
        <f ca="1">IF(rF1.CheckConcreteWall,"-",OFFSET(INDIRECT(rF1.BrickListNumber),MIN(rF1.BrickProductSelection*1,COUNTA(rF1.BrickList01)),rF1.ColumnPlacementFactor,1,1))</f>
        <v>-</v>
      </c>
      <c r="N135" s="312">
        <f ca="1">OFFSET(INDIRECT(rF1.BrickListNumber),MIN(rF1.BrickProductSelection*1,COUNTA(rF1.BrickList02)),rF1.ColumnPlacementFactor,1,1)</f>
        <v>0.8</v>
      </c>
      <c r="O135" s="312">
        <f ca="1">OFFSET(INDIRECT(rF1.BrickListNumber),MIN(rF1.BrickProductSelection*1,COUNTA(rF1.BrickList03)),rF1.ColumnPlacementFactor,1,1)</f>
        <v>0.7</v>
      </c>
      <c r="P135" s="266"/>
      <c r="Q135" s="266"/>
      <c r="R135" s="402"/>
      <c r="S135" s="155"/>
      <c r="T135" s="238">
        <v>0.34</v>
      </c>
      <c r="U135" s="209">
        <f t="shared" ca="1" si="14"/>
        <v>220.91160000000005</v>
      </c>
      <c r="V135" s="118">
        <f t="shared" ca="1" si="18"/>
        <v>8.5014999999999979E-2</v>
      </c>
      <c r="W135" s="204">
        <f t="shared" ca="1" si="19"/>
        <v>18.780799674000001</v>
      </c>
      <c r="Y135" s="209">
        <f t="shared" ca="1" si="15"/>
        <v>220.91160000000005</v>
      </c>
      <c r="Z135" s="118">
        <f t="shared" ca="1" si="20"/>
        <v>8.5014999999999979E-2</v>
      </c>
      <c r="AA135" s="204">
        <f t="shared" ca="1" si="21"/>
        <v>18.780799674000001</v>
      </c>
      <c r="AC135" s="209">
        <f t="shared" ca="1" si="22"/>
        <v>7.2250000000000009E-2</v>
      </c>
      <c r="AD135" s="118">
        <f t="shared" ca="1" si="23"/>
        <v>0</v>
      </c>
      <c r="AE135" s="118">
        <f t="shared" ca="1" si="24"/>
        <v>7.2250000000000009E-2</v>
      </c>
      <c r="AF135" s="118">
        <f t="shared" ca="1" si="16"/>
        <v>0.60303529411764689</v>
      </c>
      <c r="AG135" s="118">
        <f t="shared" ca="1" si="17"/>
        <v>755.20119999999963</v>
      </c>
      <c r="AH135" s="204">
        <f t="shared" ca="1" si="25"/>
        <v>54.563286699999978</v>
      </c>
      <c r="AI135" s="259"/>
    </row>
    <row r="136" spans="3:35" x14ac:dyDescent="0.2">
      <c r="C136" s="313">
        <v>22</v>
      </c>
      <c r="K136" s="170" t="s">
        <v>508</v>
      </c>
      <c r="L136" s="146"/>
      <c r="M136" s="314" t="str">
        <f ca="1">IF(rF1.CheckConcreteWall,"-",OFFSET(INDIRECT(rF1.BrickListNumber),MIN(rF1.BrickProductSelection*1,COUNTA(rF1.BrickList01)),rF1.ColumnPlacementFactor,1,1))</f>
        <v>-</v>
      </c>
      <c r="N136" s="314">
        <f ca="1">OFFSET(INDIRECT(rF1.BrickListNumber),MIN(rF1.BrickProductSelection*1,COUNTA(rF1.BrickList02)),rF1.ColumnPlacementFactor,1,1)</f>
        <v>35</v>
      </c>
      <c r="O136" s="314">
        <f ca="1">OFFSET(INDIRECT(rF1.BrickListNumber),MIN(rF1.BrickProductSelection*1,COUNTA(rF1.BrickList03)),rF1.ColumnPlacementFactor,1,1)</f>
        <v>35</v>
      </c>
      <c r="P136" s="146"/>
      <c r="Q136" s="146"/>
      <c r="R136" s="402"/>
      <c r="S136" s="155"/>
      <c r="T136" s="238">
        <v>0.35</v>
      </c>
      <c r="U136" s="209">
        <f t="shared" ca="1" si="14"/>
        <v>227.40900000000002</v>
      </c>
      <c r="V136" s="118">
        <f t="shared" ca="1" si="18"/>
        <v>8.3912500000000001E-2</v>
      </c>
      <c r="W136" s="204">
        <f t="shared" ca="1" si="19"/>
        <v>19.082457712500002</v>
      </c>
      <c r="Y136" s="209">
        <f t="shared" ca="1" si="15"/>
        <v>227.40900000000002</v>
      </c>
      <c r="Z136" s="118">
        <f t="shared" ca="1" si="20"/>
        <v>8.3912500000000001E-2</v>
      </c>
      <c r="AA136" s="204">
        <f t="shared" ca="1" si="21"/>
        <v>19.082457712500002</v>
      </c>
      <c r="AC136" s="209">
        <f t="shared" ca="1" si="22"/>
        <v>7.4374999999999997E-2</v>
      </c>
      <c r="AD136" s="118">
        <f t="shared" ca="1" si="23"/>
        <v>0</v>
      </c>
      <c r="AE136" s="118">
        <f t="shared" ca="1" si="24"/>
        <v>7.4374999999999997E-2</v>
      </c>
      <c r="AF136" s="118">
        <f t="shared" ca="1" si="16"/>
        <v>0.59163529411764704</v>
      </c>
      <c r="AG136" s="118">
        <f t="shared" ca="1" si="17"/>
        <v>740.92459999999994</v>
      </c>
      <c r="AH136" s="204">
        <f t="shared" ca="1" si="25"/>
        <v>55.106267124999995</v>
      </c>
      <c r="AI136" s="259"/>
    </row>
    <row r="137" spans="3:35" x14ac:dyDescent="0.2">
      <c r="K137" s="142" t="s">
        <v>272</v>
      </c>
      <c r="L137" s="142"/>
      <c r="M137" s="143"/>
      <c r="N137" s="143"/>
      <c r="O137" s="143"/>
      <c r="P137" s="143"/>
      <c r="Q137" s="192"/>
      <c r="R137" s="402"/>
      <c r="S137" s="155"/>
      <c r="T137" s="238">
        <v>0.36</v>
      </c>
      <c r="U137" s="209">
        <f t="shared" ca="1" si="14"/>
        <v>233.90640000000005</v>
      </c>
      <c r="V137" s="118">
        <f t="shared" ca="1" si="18"/>
        <v>8.2809999999999995E-2</v>
      </c>
      <c r="W137" s="204">
        <f t="shared" ca="1" si="19"/>
        <v>19.369788984000003</v>
      </c>
      <c r="Y137" s="209">
        <f t="shared" ca="1" si="15"/>
        <v>233.90640000000005</v>
      </c>
      <c r="Z137" s="118">
        <f t="shared" ca="1" si="20"/>
        <v>8.2809999999999995E-2</v>
      </c>
      <c r="AA137" s="204">
        <f t="shared" ca="1" si="21"/>
        <v>19.369788984000003</v>
      </c>
      <c r="AC137" s="209">
        <f t="shared" ca="1" si="22"/>
        <v>7.6499999999999999E-2</v>
      </c>
      <c r="AD137" s="118">
        <f t="shared" ca="1" si="23"/>
        <v>0</v>
      </c>
      <c r="AE137" s="118">
        <f t="shared" ca="1" si="24"/>
        <v>7.6499999999999999E-2</v>
      </c>
      <c r="AF137" s="118">
        <f t="shared" ca="1" si="16"/>
        <v>0.58023529411764696</v>
      </c>
      <c r="AG137" s="118">
        <f t="shared" ca="1" si="17"/>
        <v>726.64799999999991</v>
      </c>
      <c r="AH137" s="204">
        <f t="shared" ca="1" si="25"/>
        <v>55.588571999999992</v>
      </c>
      <c r="AI137" s="259"/>
    </row>
    <row r="138" spans="3:35" x14ac:dyDescent="0.2">
      <c r="C138" s="194"/>
      <c r="K138" s="170" t="s">
        <v>273</v>
      </c>
      <c r="L138" s="146"/>
      <c r="M138" s="315"/>
      <c r="N138" s="315">
        <f ca="1">IF(rF1.WallArea&lt;rP1.MaxWallAreaReduction,IF(rF1.PerforationFactor&lt;rP1.MaxPerfFactorReduction,0.7+3*rF1.WallArea,rP1.ReductionMasonryStrengthArea),1)</f>
        <v>1</v>
      </c>
      <c r="O138" s="315"/>
      <c r="P138" s="146"/>
      <c r="Q138" s="146"/>
      <c r="R138" s="402"/>
      <c r="S138" s="155"/>
      <c r="T138" s="238">
        <v>0.37</v>
      </c>
      <c r="U138" s="209">
        <f t="shared" ca="1" si="14"/>
        <v>240.40380000000005</v>
      </c>
      <c r="V138" s="118">
        <f t="shared" ca="1" si="18"/>
        <v>8.1707499999999988E-2</v>
      </c>
      <c r="W138" s="204">
        <f t="shared" ca="1" si="19"/>
        <v>19.642793488500001</v>
      </c>
      <c r="Y138" s="209">
        <f t="shared" ca="1" si="15"/>
        <v>240.40380000000005</v>
      </c>
      <c r="Z138" s="118">
        <f t="shared" ca="1" si="20"/>
        <v>8.1707499999999988E-2</v>
      </c>
      <c r="AA138" s="204">
        <f t="shared" ca="1" si="21"/>
        <v>19.642793488500001</v>
      </c>
      <c r="AC138" s="209">
        <f t="shared" ca="1" si="22"/>
        <v>7.8625E-2</v>
      </c>
      <c r="AD138" s="118">
        <f t="shared" ca="1" si="23"/>
        <v>0</v>
      </c>
      <c r="AE138" s="118">
        <f t="shared" ca="1" si="24"/>
        <v>7.8625E-2</v>
      </c>
      <c r="AF138" s="118">
        <f t="shared" ca="1" si="16"/>
        <v>0.56883529411764699</v>
      </c>
      <c r="AG138" s="118">
        <f t="shared" ca="1" si="17"/>
        <v>712.37139999999988</v>
      </c>
      <c r="AH138" s="204">
        <f t="shared" ca="1" si="25"/>
        <v>56.01020132499999</v>
      </c>
      <c r="AI138" s="259"/>
    </row>
    <row r="139" spans="3:35" x14ac:dyDescent="0.2">
      <c r="C139" s="308"/>
      <c r="K139" s="311" t="s">
        <v>382</v>
      </c>
      <c r="L139" s="316" t="s">
        <v>383</v>
      </c>
      <c r="M139" s="317"/>
      <c r="N139" s="317">
        <f>rP2.LongTermFactor</f>
        <v>0.85</v>
      </c>
      <c r="O139" s="317"/>
      <c r="P139" s="266"/>
      <c r="Q139" s="266"/>
      <c r="S139" s="155"/>
      <c r="T139" s="238">
        <v>0.38</v>
      </c>
      <c r="U139" s="209">
        <f t="shared" ca="1" si="14"/>
        <v>246.90120000000005</v>
      </c>
      <c r="V139" s="118">
        <f t="shared" ca="1" si="18"/>
        <v>8.0604999999999982E-2</v>
      </c>
      <c r="W139" s="204">
        <f t="shared" ca="1" si="19"/>
        <v>19.901471225999998</v>
      </c>
      <c r="Y139" s="209">
        <f t="shared" ca="1" si="15"/>
        <v>246.90120000000005</v>
      </c>
      <c r="Z139" s="118">
        <f t="shared" ca="1" si="20"/>
        <v>8.0604999999999982E-2</v>
      </c>
      <c r="AA139" s="204">
        <f t="shared" ca="1" si="21"/>
        <v>19.901471225999998</v>
      </c>
      <c r="AC139" s="209">
        <f t="shared" ca="1" si="22"/>
        <v>8.0750000000000002E-2</v>
      </c>
      <c r="AD139" s="118">
        <f t="shared" ca="1" si="23"/>
        <v>0</v>
      </c>
      <c r="AE139" s="118">
        <f t="shared" ca="1" si="24"/>
        <v>8.0750000000000002E-2</v>
      </c>
      <c r="AF139" s="118">
        <f t="shared" ca="1" si="16"/>
        <v>0.55743529411764703</v>
      </c>
      <c r="AG139" s="118">
        <f t="shared" ca="1" si="17"/>
        <v>698.09479999999985</v>
      </c>
      <c r="AH139" s="204">
        <f t="shared" ca="1" si="25"/>
        <v>56.371155099999989</v>
      </c>
      <c r="AI139" s="259"/>
    </row>
    <row r="140" spans="3:35" ht="15.75" x14ac:dyDescent="0.2">
      <c r="C140" s="308">
        <v>8</v>
      </c>
      <c r="K140" s="170" t="s">
        <v>215</v>
      </c>
      <c r="L140" s="146" t="s">
        <v>43</v>
      </c>
      <c r="M140" s="295" t="str">
        <f ca="1">IF(rF1.CheckConcreteWall,"-",OFFSET(INDIRECT(rF1.BrickListNumber),MIN(rF1.BrickProductSelection*1,COUNTA(rF1.BrickList01)),rF1.ColumnPlacementFactor,1,1))</f>
        <v>-</v>
      </c>
      <c r="N140" s="295">
        <f ca="1">OFFSET(INDIRECT(rF1.BrickListNumber),MIN(rF1.BrickProductSelection*1,COUNTA(rF1.BrickList02)),rF1.ColumnPlacementFactor,1,1)</f>
        <v>5.2</v>
      </c>
      <c r="O140" s="295">
        <f ca="1">OFFSET(INDIRECT(rF1.BrickListNumber),MIN(rF1.BrickProductSelection*1,COUNTA(rF1.BrickList03)),rF1.ColumnPlacementFactor,1,1)</f>
        <v>4.7</v>
      </c>
      <c r="P140" s="146"/>
      <c r="Q140" s="146"/>
      <c r="R140" s="402"/>
      <c r="S140" s="155"/>
      <c r="T140" s="238">
        <v>0.39</v>
      </c>
      <c r="U140" s="209">
        <f t="shared" ca="1" si="14"/>
        <v>253.39860000000004</v>
      </c>
      <c r="V140" s="118">
        <f t="shared" ca="1" si="18"/>
        <v>7.950249999999999E-2</v>
      </c>
      <c r="W140" s="204">
        <f t="shared" ca="1" si="19"/>
        <v>20.145822196499999</v>
      </c>
      <c r="Y140" s="209">
        <f t="shared" ca="1" si="15"/>
        <v>253.39860000000004</v>
      </c>
      <c r="Z140" s="118">
        <f t="shared" ca="1" si="20"/>
        <v>7.950249999999999E-2</v>
      </c>
      <c r="AA140" s="204">
        <f t="shared" ca="1" si="21"/>
        <v>20.145822196499999</v>
      </c>
      <c r="AC140" s="209">
        <f t="shared" ca="1" si="22"/>
        <v>8.2875000000000004E-2</v>
      </c>
      <c r="AD140" s="118">
        <f t="shared" ca="1" si="23"/>
        <v>0</v>
      </c>
      <c r="AE140" s="118">
        <f t="shared" ca="1" si="24"/>
        <v>8.2875000000000004E-2</v>
      </c>
      <c r="AF140" s="118">
        <f t="shared" ca="1" si="16"/>
        <v>0.54603529411764695</v>
      </c>
      <c r="AG140" s="118">
        <f t="shared" ca="1" si="17"/>
        <v>683.81819999999982</v>
      </c>
      <c r="AH140" s="204">
        <f t="shared" ca="1" si="25"/>
        <v>56.671433324999988</v>
      </c>
      <c r="AI140" s="259"/>
    </row>
    <row r="141" spans="3:35" ht="15.75" x14ac:dyDescent="0.2">
      <c r="C141" s="313"/>
      <c r="K141" s="311" t="s">
        <v>274</v>
      </c>
      <c r="L141" s="266" t="s">
        <v>78</v>
      </c>
      <c r="M141" s="317"/>
      <c r="N141" s="317">
        <f ca="1">OFFSET(rD4.Knoten05,rF1.DesignSitSelection,1,1,1)</f>
        <v>1.5</v>
      </c>
      <c r="O141" s="317"/>
      <c r="P141" s="266"/>
      <c r="Q141" s="266"/>
      <c r="R141" s="402"/>
      <c r="S141" s="155"/>
      <c r="T141" s="238">
        <v>0.4</v>
      </c>
      <c r="U141" s="209">
        <f t="shared" ca="1" si="14"/>
        <v>259.89600000000007</v>
      </c>
      <c r="V141" s="118">
        <f t="shared" ca="1" si="18"/>
        <v>7.8399999999999984E-2</v>
      </c>
      <c r="W141" s="204">
        <f t="shared" ca="1" si="19"/>
        <v>20.3758464</v>
      </c>
      <c r="Y141" s="209">
        <f t="shared" ca="1" si="15"/>
        <v>259.89600000000007</v>
      </c>
      <c r="Z141" s="118">
        <f t="shared" ca="1" si="20"/>
        <v>7.8399999999999984E-2</v>
      </c>
      <c r="AA141" s="204">
        <f t="shared" ca="1" si="21"/>
        <v>20.3758464</v>
      </c>
      <c r="AC141" s="209">
        <f t="shared" ca="1" si="22"/>
        <v>8.5000000000000006E-2</v>
      </c>
      <c r="AD141" s="118">
        <f t="shared" ca="1" si="23"/>
        <v>0</v>
      </c>
      <c r="AE141" s="118">
        <f t="shared" ca="1" si="24"/>
        <v>8.5000000000000006E-2</v>
      </c>
      <c r="AF141" s="118">
        <f t="shared" ca="1" si="16"/>
        <v>0.53463529411764699</v>
      </c>
      <c r="AG141" s="118">
        <f t="shared" ca="1" si="17"/>
        <v>669.54159999999979</v>
      </c>
      <c r="AH141" s="204">
        <f t="shared" ca="1" si="25"/>
        <v>56.911035999999989</v>
      </c>
      <c r="AI141" s="259"/>
    </row>
    <row r="142" spans="3:35" x14ac:dyDescent="0.2">
      <c r="K142" s="142" t="s">
        <v>275</v>
      </c>
      <c r="L142" s="142"/>
      <c r="M142" s="143"/>
      <c r="N142" s="143"/>
      <c r="O142" s="143"/>
      <c r="P142" s="143"/>
      <c r="Q142" s="192"/>
      <c r="R142" s="402"/>
      <c r="S142" s="155"/>
      <c r="T142" s="238">
        <v>0.41</v>
      </c>
      <c r="U142" s="209">
        <f t="shared" ca="1" si="14"/>
        <v>266.39340000000004</v>
      </c>
      <c r="V142" s="118">
        <f t="shared" ca="1" si="18"/>
        <v>7.7297499999999991E-2</v>
      </c>
      <c r="W142" s="204">
        <f t="shared" ca="1" si="19"/>
        <v>20.591543836500001</v>
      </c>
      <c r="Y142" s="209">
        <f t="shared" ca="1" si="15"/>
        <v>266.39340000000004</v>
      </c>
      <c r="Z142" s="118">
        <f t="shared" ca="1" si="20"/>
        <v>7.7297499999999991E-2</v>
      </c>
      <c r="AA142" s="204">
        <f t="shared" ca="1" si="21"/>
        <v>20.591543836500001</v>
      </c>
      <c r="AC142" s="209">
        <f t="shared" ca="1" si="22"/>
        <v>8.7124999999999994E-2</v>
      </c>
      <c r="AD142" s="118">
        <f t="shared" ca="1" si="23"/>
        <v>0</v>
      </c>
      <c r="AE142" s="118">
        <f t="shared" ca="1" si="24"/>
        <v>8.7124999999999994E-2</v>
      </c>
      <c r="AF142" s="118">
        <f t="shared" ca="1" si="16"/>
        <v>0.52323529411764713</v>
      </c>
      <c r="AG142" s="118">
        <f t="shared" ca="1" si="17"/>
        <v>655.2650000000001</v>
      </c>
      <c r="AH142" s="204">
        <f t="shared" ca="1" si="25"/>
        <v>57.089963125000004</v>
      </c>
      <c r="AI142" s="259"/>
    </row>
    <row r="143" spans="3:35" x14ac:dyDescent="0.2">
      <c r="C143" s="194">
        <v>3</v>
      </c>
      <c r="K143" s="146" t="s">
        <v>216</v>
      </c>
      <c r="L143" s="146" t="s">
        <v>42</v>
      </c>
      <c r="M143" s="318">
        <f ca="1">IF(rF1.CheckFoundation,rF1.PlotFoundationWidth,IF(rF1.CheckConcreteWall,OFFSET(rL4.ConcWallThicknessHead,MIN(rF1.BrickProductSelection*1,COUNTA(rF1.BrickList01)),0,1,1),OFFSET(INDIRECT(rF1.BrickListNumber),MIN(rF1.BrickProductSelection*1,COUNTA(rF1.BrickList01)),rF1.ColumnPlacementFactor,1,1)/100))</f>
        <v>0.25</v>
      </c>
      <c r="N143" s="318">
        <f ca="1">OFFSET(INDIRECT(rF1.BrickListNumber),MIN(rF1.BrickProductSelection*1,COUNTA(rF1.BrickList02)),rF1.ColumnPlacementFactor,1,1)/100</f>
        <v>0.42499999999999999</v>
      </c>
      <c r="O143" s="318">
        <f ca="1">IF(rF1.CheckWallNotExisting=1,0,OFFSET(INDIRECT(rF1.BrickListNumber),MIN(rF1.BrickProductSelection*1,COUNTA(rF1.BrickList03)),rF1.ColumnPlacementFactor,1,1)/100)</f>
        <v>0.36499999999999999</v>
      </c>
      <c r="P143" s="319"/>
      <c r="Q143" s="319"/>
      <c r="R143" s="402"/>
      <c r="S143" s="155"/>
      <c r="T143" s="238">
        <v>0.42</v>
      </c>
      <c r="U143" s="209">
        <f t="shared" ca="1" si="14"/>
        <v>272.89080000000007</v>
      </c>
      <c r="V143" s="118">
        <f t="shared" ca="1" si="18"/>
        <v>7.6194999999999985E-2</v>
      </c>
      <c r="W143" s="204">
        <f t="shared" ca="1" si="19"/>
        <v>20.792914506000002</v>
      </c>
      <c r="Y143" s="209">
        <f t="shared" ca="1" si="15"/>
        <v>272.89080000000007</v>
      </c>
      <c r="Z143" s="118">
        <f t="shared" ca="1" si="20"/>
        <v>7.6194999999999985E-2</v>
      </c>
      <c r="AA143" s="204">
        <f t="shared" ca="1" si="21"/>
        <v>20.792914506000002</v>
      </c>
      <c r="AC143" s="209">
        <f t="shared" ca="1" si="22"/>
        <v>8.9249999999999996E-2</v>
      </c>
      <c r="AD143" s="118">
        <f t="shared" ca="1" si="23"/>
        <v>0</v>
      </c>
      <c r="AE143" s="118">
        <f t="shared" ca="1" si="24"/>
        <v>8.9249999999999996E-2</v>
      </c>
      <c r="AF143" s="118">
        <f t="shared" ca="1" si="16"/>
        <v>0.51183529411764705</v>
      </c>
      <c r="AG143" s="118">
        <f t="shared" ca="1" si="17"/>
        <v>640.98840000000007</v>
      </c>
      <c r="AH143" s="204">
        <f t="shared" ca="1" si="25"/>
        <v>57.208214700000006</v>
      </c>
      <c r="AI143" s="259"/>
    </row>
    <row r="144" spans="3:35" x14ac:dyDescent="0.2">
      <c r="C144" s="308"/>
      <c r="K144" s="266" t="s">
        <v>217</v>
      </c>
      <c r="L144" s="266" t="s">
        <v>2</v>
      </c>
      <c r="M144" s="320">
        <f>rF1.WallHeight</f>
        <v>2.5</v>
      </c>
      <c r="N144" s="320">
        <f>rF1.WallHeight</f>
        <v>2.645</v>
      </c>
      <c r="O144" s="320">
        <f>rF1.WallHeight</f>
        <v>2.645</v>
      </c>
      <c r="P144" s="309"/>
      <c r="Q144" s="309"/>
      <c r="S144" s="155"/>
      <c r="T144" s="238">
        <v>0.43</v>
      </c>
      <c r="U144" s="209">
        <f t="shared" ca="1" si="14"/>
        <v>279.38820000000004</v>
      </c>
      <c r="V144" s="118">
        <f t="shared" ca="1" si="18"/>
        <v>7.5092499999999993E-2</v>
      </c>
      <c r="W144" s="204">
        <f t="shared" ca="1" si="19"/>
        <v>20.9799584085</v>
      </c>
      <c r="Y144" s="209">
        <f t="shared" ca="1" si="15"/>
        <v>279.38820000000004</v>
      </c>
      <c r="Z144" s="118">
        <f t="shared" ca="1" si="20"/>
        <v>7.5092499999999993E-2</v>
      </c>
      <c r="AA144" s="204">
        <f t="shared" ca="1" si="21"/>
        <v>20.9799584085</v>
      </c>
      <c r="AC144" s="209">
        <f t="shared" ca="1" si="22"/>
        <v>9.1374999999999998E-2</v>
      </c>
      <c r="AD144" s="118">
        <f t="shared" ca="1" si="23"/>
        <v>0</v>
      </c>
      <c r="AE144" s="118">
        <f t="shared" ca="1" si="24"/>
        <v>9.1374999999999998E-2</v>
      </c>
      <c r="AF144" s="118">
        <f t="shared" ca="1" si="16"/>
        <v>0.50043529411764709</v>
      </c>
      <c r="AG144" s="118">
        <f t="shared" ca="1" si="17"/>
        <v>626.71180000000004</v>
      </c>
      <c r="AH144" s="204">
        <f t="shared" ca="1" si="25"/>
        <v>57.265790725000002</v>
      </c>
      <c r="AI144" s="259"/>
    </row>
    <row r="145" spans="3:35" x14ac:dyDescent="0.2">
      <c r="C145" s="308"/>
      <c r="G145" s="145">
        <f ca="1">rF1.WallLenght02/rF1.WallThickness02</f>
        <v>4.7058823529411766</v>
      </c>
      <c r="K145" s="146" t="s">
        <v>218</v>
      </c>
      <c r="L145" s="146" t="s">
        <v>85</v>
      </c>
      <c r="M145" s="318">
        <f>rF1.WallLenght</f>
        <v>3.2</v>
      </c>
      <c r="N145" s="318">
        <f>rF1.WallLenght</f>
        <v>2</v>
      </c>
      <c r="O145" s="318">
        <f>rF1.WallLenght</f>
        <v>2</v>
      </c>
      <c r="P145" s="319"/>
      <c r="Q145" s="319"/>
      <c r="R145" s="403"/>
      <c r="S145" s="155"/>
      <c r="T145" s="238">
        <v>0.44</v>
      </c>
      <c r="U145" s="209">
        <f t="shared" ca="1" si="14"/>
        <v>285.88560000000007</v>
      </c>
      <c r="V145" s="118">
        <f t="shared" ca="1" si="18"/>
        <v>7.3989999999999986E-2</v>
      </c>
      <c r="W145" s="204">
        <f t="shared" ca="1" si="19"/>
        <v>21.152675544000001</v>
      </c>
      <c r="Y145" s="209">
        <f t="shared" ca="1" si="15"/>
        <v>285.88560000000007</v>
      </c>
      <c r="Z145" s="118">
        <f t="shared" ca="1" si="20"/>
        <v>7.3989999999999986E-2</v>
      </c>
      <c r="AA145" s="204">
        <f t="shared" ca="1" si="21"/>
        <v>21.152675544000001</v>
      </c>
      <c r="AC145" s="209">
        <f t="shared" ca="1" si="22"/>
        <v>9.35E-2</v>
      </c>
      <c r="AD145" s="118">
        <f t="shared" ca="1" si="23"/>
        <v>0</v>
      </c>
      <c r="AE145" s="118">
        <f t="shared" ca="1" si="24"/>
        <v>9.35E-2</v>
      </c>
      <c r="AF145" s="118">
        <f t="shared" ca="1" si="16"/>
        <v>0.48903529411764701</v>
      </c>
      <c r="AG145" s="118">
        <f t="shared" ca="1" si="17"/>
        <v>612.4351999999999</v>
      </c>
      <c r="AH145" s="204">
        <f t="shared" ca="1" si="25"/>
        <v>57.262691199999992</v>
      </c>
      <c r="AI145" s="259"/>
    </row>
    <row r="146" spans="3:35" x14ac:dyDescent="0.2">
      <c r="C146" s="308"/>
      <c r="K146" s="266" t="s">
        <v>276</v>
      </c>
      <c r="L146" s="266" t="s">
        <v>114</v>
      </c>
      <c r="M146" s="321"/>
      <c r="N146" s="322">
        <f ca="1">rF1.WallThickness*rF1.WallLenght</f>
        <v>0.85</v>
      </c>
      <c r="O146" s="321"/>
      <c r="P146" s="309"/>
      <c r="Q146" s="309"/>
      <c r="R146" s="403"/>
      <c r="S146" s="155"/>
      <c r="T146" s="238">
        <v>0.45</v>
      </c>
      <c r="U146" s="209">
        <f t="shared" ca="1" si="14"/>
        <v>292.38300000000004</v>
      </c>
      <c r="V146" s="118">
        <f t="shared" ca="1" si="18"/>
        <v>7.2887499999999994E-2</v>
      </c>
      <c r="W146" s="204">
        <f t="shared" ca="1" si="19"/>
        <v>21.311065912500002</v>
      </c>
      <c r="Y146" s="209">
        <f t="shared" ca="1" si="15"/>
        <v>292.38300000000004</v>
      </c>
      <c r="Z146" s="118">
        <f t="shared" ca="1" si="20"/>
        <v>7.2887499999999994E-2</v>
      </c>
      <c r="AA146" s="204">
        <f t="shared" ca="1" si="21"/>
        <v>21.311065912500002</v>
      </c>
      <c r="AC146" s="209">
        <f t="shared" ca="1" si="22"/>
        <v>9.5625000000000002E-2</v>
      </c>
      <c r="AD146" s="118">
        <f t="shared" ca="1" si="23"/>
        <v>0</v>
      </c>
      <c r="AE146" s="118">
        <f t="shared" ca="1" si="24"/>
        <v>9.5625000000000002E-2</v>
      </c>
      <c r="AF146" s="118">
        <f t="shared" ca="1" si="16"/>
        <v>0.47763529411764705</v>
      </c>
      <c r="AG146" s="118">
        <f t="shared" ca="1" si="17"/>
        <v>598.15859999999998</v>
      </c>
      <c r="AH146" s="204">
        <f t="shared" ca="1" si="25"/>
        <v>57.198916124999997</v>
      </c>
      <c r="AI146" s="259"/>
    </row>
    <row r="147" spans="3:35" x14ac:dyDescent="0.2">
      <c r="C147" s="308">
        <v>1</v>
      </c>
      <c r="G147" s="145">
        <f ca="1">IF(OR(AND(rF1.FixedVergesNumber=1,rF1.RatioLengthThick02&gt;rP1.MaximumLengthOneFixed),AND(rF1.FixedVergesNumber=2,rF1.RatioLengthThick02&gt;rP1.MaximumLengthTwoFixed)),0,rF1.FixedVergesNumber)</f>
        <v>0</v>
      </c>
      <c r="K147" s="146" t="s">
        <v>220</v>
      </c>
      <c r="L147" s="146"/>
      <c r="M147" s="310"/>
      <c r="N147" s="310">
        <f ca="1">OFFSET(rL1.FixedVergesHead,rF1.FixedVergesSelection02,rF1.ColumnPlacementFactor,1,1)</f>
        <v>0</v>
      </c>
      <c r="O147" s="411" t="str">
        <f ca="1">IF(rF1.FixedVergesNumber&lt;&gt;rF1.FixedVergesNumberSelection,IF(rF1.FixedVergesNumber=1,rP2.OutputOneFixedVergeNP,IF(rF1.FixedVergesNumber=2,rP2.OutputTwoFixedVergesNP,"")),"")</f>
        <v/>
      </c>
      <c r="P147" s="319"/>
      <c r="Q147" s="319"/>
      <c r="R147" s="403"/>
      <c r="S147" s="155"/>
      <c r="T147" s="238">
        <v>0.46</v>
      </c>
      <c r="U147" s="209">
        <f t="shared" ca="1" si="14"/>
        <v>298.88040000000007</v>
      </c>
      <c r="V147" s="118">
        <f t="shared" ca="1" si="18"/>
        <v>7.1784999999999988E-2</v>
      </c>
      <c r="W147" s="204">
        <f t="shared" ca="1" si="19"/>
        <v>21.455129513999999</v>
      </c>
      <c r="Y147" s="209">
        <f t="shared" ca="1" si="15"/>
        <v>298.88040000000007</v>
      </c>
      <c r="Z147" s="118">
        <f t="shared" ca="1" si="20"/>
        <v>7.1784999999999988E-2</v>
      </c>
      <c r="AA147" s="204">
        <f t="shared" ca="1" si="21"/>
        <v>21.455129513999999</v>
      </c>
      <c r="AC147" s="209">
        <f t="shared" ca="1" si="22"/>
        <v>9.7750000000000004E-2</v>
      </c>
      <c r="AD147" s="118">
        <f t="shared" ca="1" si="23"/>
        <v>0</v>
      </c>
      <c r="AE147" s="118">
        <f t="shared" ca="1" si="24"/>
        <v>9.7750000000000004E-2</v>
      </c>
      <c r="AF147" s="118">
        <f t="shared" ca="1" si="16"/>
        <v>0.46623529411764708</v>
      </c>
      <c r="AG147" s="118">
        <f t="shared" ca="1" si="17"/>
        <v>583.88199999999995</v>
      </c>
      <c r="AH147" s="204">
        <f t="shared" ca="1" si="25"/>
        <v>57.074465499999995</v>
      </c>
      <c r="AI147" s="259"/>
    </row>
    <row r="148" spans="3:35" ht="15.75" x14ac:dyDescent="0.2">
      <c r="C148" s="308">
        <v>5</v>
      </c>
      <c r="K148" s="266" t="s">
        <v>393</v>
      </c>
      <c r="L148" s="266" t="s">
        <v>394</v>
      </c>
      <c r="M148" s="323"/>
      <c r="N148" s="324">
        <f ca="1">OFFSET(INDIRECT(rF1.BrickListNumber),MIN(rF1.BrickProductSelection*1,COUNTA(rF1.BrickList02)),rF1.ColumnPlacementFactor,1,1)</f>
        <v>249</v>
      </c>
      <c r="O148" s="323"/>
      <c r="P148" s="309"/>
      <c r="Q148" s="309"/>
      <c r="R148" s="403"/>
      <c r="S148" s="155"/>
      <c r="T148" s="238">
        <v>0.47</v>
      </c>
      <c r="U148" s="209">
        <f t="shared" ca="1" si="14"/>
        <v>305.37780000000004</v>
      </c>
      <c r="V148" s="118">
        <f t="shared" ca="1" si="18"/>
        <v>7.0682499999999981E-2</v>
      </c>
      <c r="W148" s="204">
        <f t="shared" ca="1" si="19"/>
        <v>21.584866348499997</v>
      </c>
      <c r="Y148" s="209">
        <f t="shared" ca="1" si="15"/>
        <v>305.37780000000004</v>
      </c>
      <c r="Z148" s="118">
        <f t="shared" ca="1" si="20"/>
        <v>7.0682499999999981E-2</v>
      </c>
      <c r="AA148" s="204">
        <f t="shared" ca="1" si="21"/>
        <v>21.584866348499997</v>
      </c>
      <c r="AC148" s="209">
        <f t="shared" ca="1" si="22"/>
        <v>9.9874999999999992E-2</v>
      </c>
      <c r="AD148" s="118">
        <f t="shared" ca="1" si="23"/>
        <v>0</v>
      </c>
      <c r="AE148" s="118">
        <f t="shared" ca="1" si="24"/>
        <v>9.9874999999999992E-2</v>
      </c>
      <c r="AF148" s="118">
        <f t="shared" ca="1" si="16"/>
        <v>0.454835294117647</v>
      </c>
      <c r="AG148" s="118">
        <f t="shared" ca="1" si="17"/>
        <v>569.6053999999998</v>
      </c>
      <c r="AH148" s="204">
        <f t="shared" ca="1" si="25"/>
        <v>56.889339324999973</v>
      </c>
      <c r="AI148" s="259"/>
    </row>
    <row r="149" spans="3:35" ht="15.75" x14ac:dyDescent="0.2">
      <c r="C149" s="308">
        <v>4</v>
      </c>
      <c r="K149" s="146"/>
      <c r="L149" s="146" t="s">
        <v>395</v>
      </c>
      <c r="M149" s="310"/>
      <c r="N149" s="325">
        <f ca="1">OFFSET(INDIRECT(rF1.BrickListNumber),MIN(rF1.BrickProductSelection*1,COUNTA(rF1.BrickList02)),rF1.ColumnPlacementFactor,1,1)</f>
        <v>248</v>
      </c>
      <c r="O149" s="310"/>
      <c r="P149" s="319"/>
      <c r="Q149" s="319"/>
      <c r="R149" s="403"/>
      <c r="S149" s="155"/>
      <c r="T149" s="238">
        <v>0.48</v>
      </c>
      <c r="U149" s="209">
        <f t="shared" ca="1" si="14"/>
        <v>311.87520000000006</v>
      </c>
      <c r="V149" s="118">
        <f t="shared" ca="1" si="18"/>
        <v>6.9579999999999989E-2</v>
      </c>
      <c r="W149" s="204">
        <f t="shared" ca="1" si="19"/>
        <v>21.700276416000001</v>
      </c>
      <c r="Y149" s="209">
        <f t="shared" ca="1" si="15"/>
        <v>311.87520000000006</v>
      </c>
      <c r="Z149" s="118">
        <f t="shared" ca="1" si="20"/>
        <v>6.9579999999999989E-2</v>
      </c>
      <c r="AA149" s="204">
        <f t="shared" ca="1" si="21"/>
        <v>21.700276416000001</v>
      </c>
      <c r="AC149" s="209">
        <f t="shared" ca="1" si="22"/>
        <v>0.10199999999999999</v>
      </c>
      <c r="AD149" s="118">
        <f t="shared" ca="1" si="23"/>
        <v>0</v>
      </c>
      <c r="AE149" s="118">
        <f t="shared" ca="1" si="24"/>
        <v>0.10199999999999999</v>
      </c>
      <c r="AF149" s="118">
        <f t="shared" ca="1" si="16"/>
        <v>0.44343529411764704</v>
      </c>
      <c r="AG149" s="118">
        <f t="shared" ca="1" si="17"/>
        <v>555.3288</v>
      </c>
      <c r="AH149" s="204">
        <f t="shared" ca="1" si="25"/>
        <v>56.643537599999995</v>
      </c>
      <c r="AI149" s="259"/>
    </row>
    <row r="150" spans="3:35" ht="15.75" x14ac:dyDescent="0.2">
      <c r="C150" s="308"/>
      <c r="G150" s="145">
        <f ca="1">ABS(((rF1.WallThickness02-rF1.BearingDepthTop02)/2+rF1.EccentricityShiftC5Top+rF1.EccentricitySlabTop+rF1.EccentricityWindTop)/rF1.WallThickness02)</f>
        <v>0.23700387500470821</v>
      </c>
      <c r="K150" s="266"/>
      <c r="L150" s="266" t="s">
        <v>465</v>
      </c>
      <c r="M150" s="323"/>
      <c r="N150" s="317">
        <f ca="1">rF1.BrickHeight02/rF1.BrickLength02</f>
        <v>1.0040322580645162</v>
      </c>
      <c r="O150" s="323"/>
      <c r="P150" s="309"/>
      <c r="Q150" s="309"/>
      <c r="R150" s="403"/>
      <c r="S150" s="155"/>
      <c r="T150" s="238">
        <v>0.49</v>
      </c>
      <c r="U150" s="209">
        <f t="shared" ca="1" si="14"/>
        <v>318.37260000000003</v>
      </c>
      <c r="V150" s="118">
        <f t="shared" ca="1" si="18"/>
        <v>6.8477499999999997E-2</v>
      </c>
      <c r="W150" s="204">
        <f t="shared" ca="1" si="19"/>
        <v>21.801359716500002</v>
      </c>
      <c r="Y150" s="209">
        <f t="shared" ca="1" si="15"/>
        <v>318.37260000000003</v>
      </c>
      <c r="Z150" s="118">
        <f t="shared" ca="1" si="20"/>
        <v>6.8477499999999997E-2</v>
      </c>
      <c r="AA150" s="204">
        <f t="shared" ca="1" si="21"/>
        <v>21.801359716500002</v>
      </c>
      <c r="AC150" s="209">
        <f t="shared" ca="1" si="22"/>
        <v>0.104125</v>
      </c>
      <c r="AD150" s="118">
        <f t="shared" ca="1" si="23"/>
        <v>0</v>
      </c>
      <c r="AE150" s="118">
        <f t="shared" ca="1" si="24"/>
        <v>0.104125</v>
      </c>
      <c r="AF150" s="118">
        <f t="shared" ca="1" si="16"/>
        <v>0.43203529411764696</v>
      </c>
      <c r="AG150" s="118">
        <f t="shared" ca="1" si="17"/>
        <v>541.05219999999986</v>
      </c>
      <c r="AH150" s="204">
        <f t="shared" ca="1" si="25"/>
        <v>56.337060324999982</v>
      </c>
      <c r="AI150" s="259"/>
    </row>
    <row r="151" spans="3:35" ht="15.75" x14ac:dyDescent="0.2">
      <c r="C151" s="308">
        <v>2</v>
      </c>
      <c r="E151" s="145">
        <f ca="1">INDEX(rL5.EccentricityFactor,MATCH(rF1.EccentricityFactor,rL5.EccentricityFactor,1))</f>
        <v>0.16666666666666666</v>
      </c>
      <c r="F151" s="145">
        <f ca="1">INDEX(rL5.EccentricityFactor,MATCH(rF1.EccentricityFactor,rL5.EccentricityFactor,1)+1)</f>
        <v>0.33333333333333331</v>
      </c>
      <c r="G151" s="145">
        <f ca="1">MAX(INDEX(rL5.Rho_2,MATCH(rF1.EccentricityFactor,rL5.EccentricityFactor,1)),OFFSET(rL1.Wall01Head,rF1.WallBearingTopSelection02,rF1.ColumnPlacementFactor,1,1),OFFSET(rL1.Wall01Head,rF1.WallBearingBottomSelection02,rF1.ColumnPlacementFactor,1,1))</f>
        <v>0.75</v>
      </c>
      <c r="H151" s="145">
        <f ca="1">MAX(INDEX(rL5.Rho_2,MATCH(rF1.EccentricityFactor,rL5.EccentricityFactor,1)+1),OFFSET(rL1.Wall01Head,rF1.WallBearingTopSelection02,rF1.ColumnPlacementFactor,1,1),OFFSET(rL1.Wall01Head,rF1.WallBearingBottomSelection02,rF1.ColumnPlacementFactor,1,1))</f>
        <v>1</v>
      </c>
      <c r="K151" s="146" t="s">
        <v>277</v>
      </c>
      <c r="L151" s="146" t="s">
        <v>84</v>
      </c>
      <c r="M151" s="315"/>
      <c r="N151" s="326">
        <f ca="1">IF(OR(rF1.CheckWoodenSlab01,rF1.CheckWoodenSlab02),1,IF(OR(AND(rF1.WallThickness02&gt;=rP1.BucklingThickness,rF1.BearingDepthTopRelated&gt;=2/3),AND(rF1.WallThickness02&lt;rP1.BucklingThickness,rF1.BearingDepthTop02&gt;=rP1.BucklingBearingDepth)),IF(OR(rF1.FixedVergesNumberSelection=1,rF1.FixedVergesNumberSelection=2),MAX(OFFSET(rL1.Wall01Head,rF1.WallBearingTopSelection02,rF1.ColumnPlacementFactor,1,1),OFFSET(rL1.Wall01Head,rF1.WallBearingBottomSelection02,rF1.ColumnPlacementFactor,1,1)),rF1.BucklingInterpolY1+(rF1.BucklingInterpolY2-rF1.BucklingInterpolY1)/(rF1.BucklingInterpolX2-rF1.BucklingInterpolX1)*(rF1.EccentricityFactor-rF1.BucklingInterpolX1)),1))</f>
        <v>1</v>
      </c>
      <c r="O151" s="326"/>
      <c r="P151" s="218" t="str">
        <f ca="1">IF(AND(rF1.CheckWoodenSlab02=1,rF1.WallThickness02-rF1.DistanceTop02&lt;0.085),rP2.OutputBearingWoodenSlab01,IF(AND(rF1.CheckWoodenSlab02=1,rF1.DistanceTop02/rF1.WallThickness02&gt;1/3),rP2.OutputBearingWoodenSlab02,""))</f>
        <v/>
      </c>
      <c r="Q151" s="319"/>
      <c r="R151" s="403"/>
      <c r="S151" s="155"/>
      <c r="T151" s="238">
        <v>0.5</v>
      </c>
      <c r="U151" s="209">
        <f t="shared" ca="1" si="14"/>
        <v>324.87000000000006</v>
      </c>
      <c r="V151" s="118">
        <f t="shared" ca="1" si="18"/>
        <v>6.737499999999999E-2</v>
      </c>
      <c r="W151" s="204">
        <f t="shared" ca="1" si="19"/>
        <v>21.888116249999999</v>
      </c>
      <c r="Y151" s="209">
        <f t="shared" ca="1" si="15"/>
        <v>324.87000000000006</v>
      </c>
      <c r="Z151" s="118">
        <f t="shared" ca="1" si="20"/>
        <v>6.737499999999999E-2</v>
      </c>
      <c r="AA151" s="204">
        <f t="shared" ca="1" si="21"/>
        <v>21.888116249999999</v>
      </c>
      <c r="AC151" s="209">
        <f t="shared" ca="1" si="22"/>
        <v>0.10625</v>
      </c>
      <c r="AD151" s="118">
        <f t="shared" ca="1" si="23"/>
        <v>0</v>
      </c>
      <c r="AE151" s="118">
        <f t="shared" ca="1" si="24"/>
        <v>0.10625</v>
      </c>
      <c r="AF151" s="118">
        <f t="shared" ca="1" si="16"/>
        <v>0.420635294117647</v>
      </c>
      <c r="AG151" s="118">
        <f t="shared" ca="1" si="17"/>
        <v>526.77559999999994</v>
      </c>
      <c r="AH151" s="204">
        <f t="shared" ca="1" si="25"/>
        <v>55.969907499999991</v>
      </c>
      <c r="AI151" s="259"/>
    </row>
    <row r="152" spans="3:35" ht="15.75" x14ac:dyDescent="0.2">
      <c r="C152" s="308"/>
      <c r="E152" s="145">
        <f ca="1">OFFSET(INDIRECT(OFFSET(rL5.OverlappingHead,rF1.OverlappingSelection,1,1,1)),0,MATCH(rF1.BrickHeightLenght,OFFSET(INDIRECT(OFFSET(rL5.OverlappingHead,rF1.OverlappingSelection,1,1,1)),0,1,1,4),1),1,1)</f>
        <v>0</v>
      </c>
      <c r="F152" s="145">
        <f ca="1">OFFSET(INDIRECT(OFFSET(rL5.OverlappingHead,rF1.OverlappingSelection,1,1,1)),0,MATCH(rF1.BrickHeightLenght,OFFSET(INDIRECT(OFFSET(rL5.OverlappingHead,rF1.OverlappingSelection,1,1,1)),0,1,1,4),1)+1,1,1)</f>
        <v>10</v>
      </c>
      <c r="G152" s="145">
        <f ca="1">OFFSET(INDIRECT(OFFSET(rL5.OverlappingHead,rF1.OverlappingSelection,1,1,1)),1,MATCH(rF1.BrickHeightLenght,OFFSET(INDIRECT(OFFSET(rL5.OverlappingHead,rF1.OverlappingSelection,1,1,1)),0,1,1,4),1),1,1)</f>
        <v>1</v>
      </c>
      <c r="H152" s="145">
        <f ca="1">OFFSET(INDIRECT(OFFSET(rL5.OverlappingHead,rF1.OverlappingSelection,1,1,1)),1,MATCH(rF1.BrickHeightLenght,OFFSET(INDIRECT(OFFSET(rL5.OverlappingHead,rF1.OverlappingSelection,1,1,1)),0,1,1,4),1)+1,1,1)</f>
        <v>1</v>
      </c>
      <c r="K152" s="266"/>
      <c r="L152" s="266" t="s">
        <v>124</v>
      </c>
      <c r="M152" s="317"/>
      <c r="N152" s="327" t="str">
        <f ca="1">IF(OR(rF1.CheckWoodenSlab01,rF1.CheckWoodenSlab02),"-",IF(rF1.FixedVergesNumberSelection=1,MAX(rF1.ReductionWallHeight02/(1+(rF1.BucklingCoeffAlpha03*rF1.ReductionWallHeight02*rF1.WallHeight/(3*rF1.WallLenght))^2),rP1.MinRho3),"-"))</f>
        <v>-</v>
      </c>
      <c r="O152" s="328" t="str">
        <f ca="1">IF(OR(rF1.CheckWoodenSlab01,rF1.CheckWoodenSlab02)," ",IF(rF1.FixedVergesNumberSelection=1,rF1.BucklingInterpolY1+(rF1.BucklingInterpolY2-rF1.BucklingInterpolY1)/(rF1.BucklingInterpolX2-rF1.BucklingInterpolX1)*(rF1.BrickHeightLenght-rF1.BucklingInterpolX1)," "))</f>
        <v xml:space="preserve"> </v>
      </c>
      <c r="P152" s="309"/>
      <c r="Q152" s="309"/>
      <c r="R152" s="403"/>
      <c r="S152" s="155"/>
      <c r="T152" s="238">
        <v>0.51</v>
      </c>
      <c r="U152" s="209">
        <f t="shared" ca="1" si="14"/>
        <v>331.36740000000009</v>
      </c>
      <c r="V152" s="118">
        <f t="shared" ca="1" si="18"/>
        <v>6.6272499999999984E-2</v>
      </c>
      <c r="W152" s="204">
        <f t="shared" ca="1" si="19"/>
        <v>21.9605460165</v>
      </c>
      <c r="Y152" s="209">
        <f t="shared" ca="1" si="15"/>
        <v>331.36740000000009</v>
      </c>
      <c r="Z152" s="118">
        <f t="shared" ca="1" si="20"/>
        <v>6.6272499999999984E-2</v>
      </c>
      <c r="AA152" s="204">
        <f t="shared" ca="1" si="21"/>
        <v>21.9605460165</v>
      </c>
      <c r="AC152" s="209">
        <f t="shared" ca="1" si="22"/>
        <v>0.108375</v>
      </c>
      <c r="AD152" s="118">
        <f t="shared" ca="1" si="23"/>
        <v>0</v>
      </c>
      <c r="AE152" s="118">
        <f t="shared" ca="1" si="24"/>
        <v>0.108375</v>
      </c>
      <c r="AF152" s="118">
        <f t="shared" ca="1" si="16"/>
        <v>0.40923529411764703</v>
      </c>
      <c r="AG152" s="118">
        <f t="shared" ca="1" si="17"/>
        <v>512.49900000000002</v>
      </c>
      <c r="AH152" s="204">
        <f t="shared" ca="1" si="25"/>
        <v>55.542079125000001</v>
      </c>
      <c r="AI152" s="259"/>
    </row>
    <row r="153" spans="3:35" ht="15.75" x14ac:dyDescent="0.2">
      <c r="C153" s="308"/>
      <c r="E153" s="145">
        <f ca="1">OFFSET(INDIRECT(OFFSET(rL5.OverlappingHead,rF1.OverlappingSelection,1,1,1)),0,MATCH(rF1.BrickHeightLenght,OFFSET(INDIRECT(OFFSET(rL5.OverlappingHead,rF1.OverlappingSelection,1,1,1)),0,1,1,4),1),1,1)</f>
        <v>0</v>
      </c>
      <c r="F153" s="145">
        <f ca="1">OFFSET(INDIRECT(OFFSET(rL5.OverlappingHead,rF1.OverlappingSelection,1,1,1)),0,MATCH(rF1.BrickHeightLenght,OFFSET(INDIRECT(OFFSET(rL5.OverlappingHead,rF1.OverlappingSelection,1,1,1)),0,1,1,4),1)+1,1,1)</f>
        <v>10</v>
      </c>
      <c r="G153" s="145">
        <f ca="1">OFFSET(INDIRECT(OFFSET(rL5.OverlappingHead,rF1.OverlappingSelection,1,1,1)),2,MATCH(rF1.BrickHeightLenght,OFFSET(INDIRECT(OFFSET(rL5.OverlappingHead,rF1.OverlappingSelection,1,1,1)),0,1,1,4),1),1,1)</f>
        <v>1</v>
      </c>
      <c r="H153" s="145">
        <f ca="1">OFFSET(INDIRECT(OFFSET(rL5.OverlappingHead,rF1.OverlappingSelection,1,1,1)),2,MATCH(rF1.BrickHeightLenght,OFFSET(INDIRECT(OFFSET(rL5.OverlappingHead,rF1.OverlappingSelection,1,1,1)),0,1,1,4),1)+1,1,1)</f>
        <v>1</v>
      </c>
      <c r="K153" s="146"/>
      <c r="L153" s="146" t="s">
        <v>125</v>
      </c>
      <c r="M153" s="315"/>
      <c r="N153" s="326" t="str">
        <f ca="1">IF(OR(rF1.CheckWoodenSlab01,rF1.CheckWoodenSlab02),"-",IF(rF1.FixedVergesNumberSelection=2,IF(rF1.BucklingCoeffAlpha04*rF1.WallHeight/rF1.WallLenght&lt;=1,rF1.ReductionWallHeight02/(1+(rF1.BucklingCoeffAlpha04*rF1.ReductionWallHeight02*rF1.WallHeight/rF1.WallLenght)^2),0.5*rF1.WallLenght/rF1.WallHeight),"-"))</f>
        <v>-</v>
      </c>
      <c r="O153" s="329" t="str">
        <f ca="1">IF(OR(rF1.CheckWoodenSlab01,rF1.CheckWoodenSlab02)," ",IF(rF1.FixedVergesNumberSelection=2,rF1.BucklingInterpolY1+(rF1.BucklingInterpolY2-rF1.BucklingInterpolY1)/(rF1.BucklingInterpolX2-rF1.BucklingInterpolX1)*(rF1.BrickHeightLenght-rF1.BucklingInterpolX1)," "))</f>
        <v xml:space="preserve"> </v>
      </c>
      <c r="P153" s="319"/>
      <c r="Q153" s="319"/>
      <c r="R153" s="403"/>
      <c r="S153" s="155"/>
      <c r="T153" s="238">
        <v>0.52</v>
      </c>
      <c r="U153" s="209">
        <f t="shared" ca="1" si="14"/>
        <v>337.86480000000006</v>
      </c>
      <c r="V153" s="118">
        <f t="shared" ca="1" si="18"/>
        <v>6.5169999999999978E-2</v>
      </c>
      <c r="W153" s="204">
        <f t="shared" ca="1" si="19"/>
        <v>22.018649015999998</v>
      </c>
      <c r="Y153" s="209">
        <f t="shared" ca="1" si="15"/>
        <v>337.86480000000006</v>
      </c>
      <c r="Z153" s="118">
        <f t="shared" ca="1" si="20"/>
        <v>6.5169999999999978E-2</v>
      </c>
      <c r="AA153" s="204">
        <f t="shared" ca="1" si="21"/>
        <v>22.018649015999998</v>
      </c>
      <c r="AC153" s="209">
        <f t="shared" ca="1" si="22"/>
        <v>0.1105</v>
      </c>
      <c r="AD153" s="118">
        <f t="shared" ca="1" si="23"/>
        <v>0</v>
      </c>
      <c r="AE153" s="118">
        <f t="shared" ca="1" si="24"/>
        <v>0.1105</v>
      </c>
      <c r="AF153" s="118">
        <f t="shared" ca="1" si="16"/>
        <v>0.39783529411764695</v>
      </c>
      <c r="AG153" s="118">
        <f t="shared" ca="1" si="17"/>
        <v>498.22239999999988</v>
      </c>
      <c r="AH153" s="204">
        <f t="shared" ca="1" si="25"/>
        <v>55.05357519999999</v>
      </c>
      <c r="AI153" s="259"/>
    </row>
    <row r="154" spans="3:35" ht="15.75" x14ac:dyDescent="0.2">
      <c r="C154" s="308"/>
      <c r="K154" s="266" t="s">
        <v>278</v>
      </c>
      <c r="L154" s="266" t="s">
        <v>71</v>
      </c>
      <c r="M154" s="330"/>
      <c r="N154" s="320">
        <f ca="1">rF1.WallHeight*MIN(rF1.ReductionWallHeight02,rF1.ReductionWallHeight03,rF1.ReductionWallHeight04)</f>
        <v>2.645</v>
      </c>
      <c r="O154" s="330"/>
      <c r="P154" s="309"/>
      <c r="Q154" s="309"/>
      <c r="R154" s="403"/>
      <c r="S154" s="155"/>
      <c r="T154" s="238">
        <v>0.53</v>
      </c>
      <c r="U154" s="209">
        <f t="shared" ca="1" si="14"/>
        <v>344.36220000000009</v>
      </c>
      <c r="V154" s="118">
        <f t="shared" ca="1" si="18"/>
        <v>6.4067499999999972E-2</v>
      </c>
      <c r="W154" s="204">
        <f t="shared" ca="1" si="19"/>
        <v>22.062425248499995</v>
      </c>
      <c r="Y154" s="209">
        <f t="shared" ca="1" si="15"/>
        <v>344.36220000000009</v>
      </c>
      <c r="Z154" s="118">
        <f t="shared" ca="1" si="20"/>
        <v>6.4067499999999972E-2</v>
      </c>
      <c r="AA154" s="204">
        <f t="shared" ca="1" si="21"/>
        <v>22.062425248499995</v>
      </c>
      <c r="AC154" s="209">
        <f t="shared" ca="1" si="22"/>
        <v>0.112625</v>
      </c>
      <c r="AD154" s="118">
        <f t="shared" ca="1" si="23"/>
        <v>0</v>
      </c>
      <c r="AE154" s="118">
        <f t="shared" ca="1" si="24"/>
        <v>0.112625</v>
      </c>
      <c r="AF154" s="118">
        <f t="shared" ca="1" si="16"/>
        <v>0.38643529411764699</v>
      </c>
      <c r="AG154" s="118">
        <f t="shared" ca="1" si="17"/>
        <v>483.94579999999985</v>
      </c>
      <c r="AH154" s="204">
        <f t="shared" ca="1" si="25"/>
        <v>54.504395724999988</v>
      </c>
      <c r="AI154" s="259"/>
    </row>
    <row r="155" spans="3:35" x14ac:dyDescent="0.2">
      <c r="C155" s="308"/>
      <c r="K155" s="183" t="s">
        <v>223</v>
      </c>
      <c r="L155" s="146"/>
      <c r="M155" s="318">
        <f ca="1">IF(OR(rF1.CheckFoundation,rF1.CheckBasePlate),0,rF1.WallThickness-rF1.BearingDepthTop)</f>
        <v>0</v>
      </c>
      <c r="N155" s="318">
        <f ca="1">rF1.WallThickness-rF1.BearingDepthTop02</f>
        <v>0.18</v>
      </c>
      <c r="O155" s="318"/>
      <c r="P155" s="319"/>
      <c r="Q155" s="319"/>
      <c r="R155" s="403"/>
      <c r="S155" s="155"/>
      <c r="T155" s="238">
        <v>0.54</v>
      </c>
      <c r="U155" s="209">
        <f t="shared" ca="1" si="14"/>
        <v>350.85960000000011</v>
      </c>
      <c r="V155" s="118">
        <f t="shared" ca="1" si="18"/>
        <v>6.2964999999999993E-2</v>
      </c>
      <c r="W155" s="204">
        <f t="shared" ca="1" si="19"/>
        <v>22.091874714000006</v>
      </c>
      <c r="Y155" s="209">
        <f t="shared" ca="1" si="15"/>
        <v>350.85960000000011</v>
      </c>
      <c r="Z155" s="118">
        <f t="shared" ca="1" si="20"/>
        <v>6.2964999999999993E-2</v>
      </c>
      <c r="AA155" s="204">
        <f t="shared" ca="1" si="21"/>
        <v>22.091874714000006</v>
      </c>
      <c r="AC155" s="209">
        <f t="shared" ca="1" si="22"/>
        <v>0.11475</v>
      </c>
      <c r="AD155" s="118">
        <f t="shared" ca="1" si="23"/>
        <v>0</v>
      </c>
      <c r="AE155" s="118">
        <f t="shared" ca="1" si="24"/>
        <v>0.11475</v>
      </c>
      <c r="AF155" s="118">
        <f t="shared" ca="1" si="16"/>
        <v>0.37503529411764691</v>
      </c>
      <c r="AG155" s="118">
        <f t="shared" ca="1" si="17"/>
        <v>469.66919999999971</v>
      </c>
      <c r="AH155" s="204">
        <f t="shared" ca="1" si="25"/>
        <v>53.894540699999972</v>
      </c>
      <c r="AI155" s="259"/>
    </row>
    <row r="156" spans="3:35" x14ac:dyDescent="0.2">
      <c r="C156" s="313"/>
      <c r="K156" s="331" t="s">
        <v>224</v>
      </c>
      <c r="L156" s="266"/>
      <c r="M156" s="320"/>
      <c r="N156" s="320">
        <f ca="1">rF1.WallThickness-rF1.BearingDepthBottom02</f>
        <v>0.18</v>
      </c>
      <c r="O156" s="320">
        <f ca="1">IF(rF1.CheckWallNotExisting,0,rF1.WallThickness-rF1.BearingDepthBottom)</f>
        <v>0.12</v>
      </c>
      <c r="P156" s="309"/>
      <c r="Q156" s="309"/>
      <c r="R156" s="403"/>
      <c r="S156" s="155"/>
      <c r="T156" s="238">
        <v>0.55000000000000004</v>
      </c>
      <c r="U156" s="209">
        <f t="shared" ca="1" si="14"/>
        <v>357.35700000000008</v>
      </c>
      <c r="V156" s="118">
        <f t="shared" ca="1" si="18"/>
        <v>6.186249999999998E-2</v>
      </c>
      <c r="W156" s="204">
        <f t="shared" ca="1" si="19"/>
        <v>22.106997412499997</v>
      </c>
      <c r="Y156" s="209">
        <f t="shared" ca="1" si="15"/>
        <v>357.35700000000008</v>
      </c>
      <c r="Z156" s="118">
        <f t="shared" ca="1" si="20"/>
        <v>6.186249999999998E-2</v>
      </c>
      <c r="AA156" s="204">
        <f t="shared" ca="1" si="21"/>
        <v>22.106997412499997</v>
      </c>
      <c r="AC156" s="209">
        <f t="shared" ca="1" si="22"/>
        <v>0.11687500000000001</v>
      </c>
      <c r="AD156" s="118">
        <f t="shared" ca="1" si="23"/>
        <v>0</v>
      </c>
      <c r="AE156" s="118">
        <f t="shared" ca="1" si="24"/>
        <v>0.11687500000000001</v>
      </c>
      <c r="AF156" s="118">
        <f t="shared" ca="1" si="16"/>
        <v>0.36363529411764695</v>
      </c>
      <c r="AG156" s="118">
        <f t="shared" ca="1" si="17"/>
        <v>455.39259999999985</v>
      </c>
      <c r="AH156" s="204">
        <f t="shared" ca="1" si="25"/>
        <v>53.224010124999985</v>
      </c>
      <c r="AI156" s="259"/>
    </row>
    <row r="157" spans="3:35" ht="15.75" x14ac:dyDescent="0.2">
      <c r="C157" s="179"/>
      <c r="K157" s="146" t="s">
        <v>490</v>
      </c>
      <c r="L157" s="146" t="s">
        <v>358</v>
      </c>
      <c r="M157" s="318">
        <f>rF1.BearingDepthTop</f>
        <v>0.25</v>
      </c>
      <c r="N157" s="318">
        <f>rF1.BearingDepthTop</f>
        <v>0.245</v>
      </c>
      <c r="O157" s="318"/>
      <c r="P157" s="319"/>
      <c r="Q157" s="319"/>
      <c r="R157" s="403"/>
      <c r="S157" s="155"/>
      <c r="T157" s="238">
        <v>0.56000000000000005</v>
      </c>
      <c r="U157" s="209">
        <f t="shared" ca="1" si="14"/>
        <v>363.85440000000011</v>
      </c>
      <c r="V157" s="118">
        <f t="shared" ca="1" si="18"/>
        <v>6.0759999999999981E-2</v>
      </c>
      <c r="W157" s="204">
        <f t="shared" ca="1" si="19"/>
        <v>22.107793344000001</v>
      </c>
      <c r="Y157" s="209">
        <f t="shared" ca="1" si="15"/>
        <v>363.85440000000011</v>
      </c>
      <c r="Z157" s="118">
        <f t="shared" ca="1" si="20"/>
        <v>6.0759999999999981E-2</v>
      </c>
      <c r="AA157" s="204">
        <f t="shared" ca="1" si="21"/>
        <v>22.107793344000001</v>
      </c>
      <c r="AC157" s="209">
        <f t="shared" ca="1" si="22"/>
        <v>0.11900000000000001</v>
      </c>
      <c r="AD157" s="118">
        <f t="shared" ca="1" si="23"/>
        <v>0</v>
      </c>
      <c r="AE157" s="118">
        <f t="shared" ca="1" si="24"/>
        <v>0.11900000000000001</v>
      </c>
      <c r="AF157" s="118">
        <f t="shared" ca="1" si="16"/>
        <v>0.35223529411764698</v>
      </c>
      <c r="AG157" s="118">
        <f t="shared" ca="1" si="17"/>
        <v>441.11599999999987</v>
      </c>
      <c r="AH157" s="204">
        <f t="shared" ca="1" si="25"/>
        <v>52.492803999999985</v>
      </c>
      <c r="AI157" s="259"/>
    </row>
    <row r="158" spans="3:35" ht="15.75" x14ac:dyDescent="0.2">
      <c r="C158" s="179"/>
      <c r="K158" s="266" t="s">
        <v>491</v>
      </c>
      <c r="L158" s="266" t="s">
        <v>359</v>
      </c>
      <c r="M158" s="320"/>
      <c r="N158" s="320">
        <f>rF1.BearingDepthBottom</f>
        <v>0.245</v>
      </c>
      <c r="O158" s="320">
        <f>rF1.BearingDepthBottom</f>
        <v>0.245</v>
      </c>
      <c r="P158" s="309"/>
      <c r="Q158" s="309"/>
      <c r="R158" s="403"/>
      <c r="S158" s="155"/>
      <c r="T158" s="238">
        <v>0.56999999999999995</v>
      </c>
      <c r="U158" s="209">
        <f t="shared" ca="1" si="14"/>
        <v>370.35180000000003</v>
      </c>
      <c r="V158" s="118">
        <f t="shared" ca="1" si="18"/>
        <v>5.9657499999999988E-2</v>
      </c>
      <c r="W158" s="204">
        <f t="shared" ca="1" si="19"/>
        <v>22.094262508499998</v>
      </c>
      <c r="Y158" s="209">
        <f t="shared" ca="1" si="15"/>
        <v>370.35180000000003</v>
      </c>
      <c r="Z158" s="118">
        <f t="shared" ca="1" si="20"/>
        <v>5.9657499999999988E-2</v>
      </c>
      <c r="AA158" s="204">
        <f t="shared" ca="1" si="21"/>
        <v>22.094262508499998</v>
      </c>
      <c r="AC158" s="209">
        <f t="shared" ca="1" si="22"/>
        <v>0.12112499999999998</v>
      </c>
      <c r="AD158" s="118">
        <f t="shared" ca="1" si="23"/>
        <v>0</v>
      </c>
      <c r="AE158" s="118">
        <f t="shared" ca="1" si="24"/>
        <v>0.12112499999999998</v>
      </c>
      <c r="AF158" s="118">
        <f t="shared" ca="1" si="16"/>
        <v>0.34083529411764707</v>
      </c>
      <c r="AG158" s="118">
        <f t="shared" ca="1" si="17"/>
        <v>426.83940000000001</v>
      </c>
      <c r="AH158" s="204">
        <f t="shared" ca="1" si="25"/>
        <v>51.700922324999993</v>
      </c>
      <c r="AI158" s="259"/>
    </row>
    <row r="159" spans="3:35" x14ac:dyDescent="0.2">
      <c r="K159" s="142" t="s">
        <v>279</v>
      </c>
      <c r="L159" s="142"/>
      <c r="M159" s="143"/>
      <c r="N159" s="143"/>
      <c r="O159" s="143"/>
      <c r="P159" s="143"/>
      <c r="Q159" s="192"/>
      <c r="R159" s="403"/>
      <c r="S159" s="155"/>
      <c r="T159" s="238">
        <v>0.57999999999999996</v>
      </c>
      <c r="U159" s="209">
        <f t="shared" ca="1" si="14"/>
        <v>376.84920000000005</v>
      </c>
      <c r="V159" s="118">
        <f t="shared" ca="1" si="18"/>
        <v>5.8554999999999996E-2</v>
      </c>
      <c r="W159" s="204">
        <f t="shared" ca="1" si="19"/>
        <v>22.066404906000002</v>
      </c>
      <c r="Y159" s="209">
        <f t="shared" ca="1" si="15"/>
        <v>376.84920000000005</v>
      </c>
      <c r="Z159" s="118">
        <f t="shared" ca="1" si="20"/>
        <v>5.8554999999999996E-2</v>
      </c>
      <c r="AA159" s="204">
        <f t="shared" ca="1" si="21"/>
        <v>22.066404906000002</v>
      </c>
      <c r="AC159" s="209">
        <f t="shared" ca="1" si="22"/>
        <v>0.12324999999999998</v>
      </c>
      <c r="AD159" s="118">
        <f t="shared" ca="1" si="23"/>
        <v>0</v>
      </c>
      <c r="AE159" s="118">
        <f t="shared" ca="1" si="24"/>
        <v>0.12324999999999998</v>
      </c>
      <c r="AF159" s="118">
        <f t="shared" ca="1" si="16"/>
        <v>0.32943529411764705</v>
      </c>
      <c r="AG159" s="118">
        <f t="shared" ca="1" si="17"/>
        <v>412.56279999999992</v>
      </c>
      <c r="AH159" s="204">
        <f t="shared" ca="1" si="25"/>
        <v>50.848365099999981</v>
      </c>
      <c r="AI159" s="259"/>
    </row>
    <row r="160" spans="3:35" x14ac:dyDescent="0.2">
      <c r="C160" s="194">
        <v>13</v>
      </c>
      <c r="K160" s="146" t="s">
        <v>280</v>
      </c>
      <c r="L160" s="146" t="s">
        <v>128</v>
      </c>
      <c r="M160" s="332">
        <f ca="1">IF(OR(rF1.CheckConcreteWall,rF1.CheckFoundation=1),rP1.ConcreteWeight*rF1.WallThickness,OFFSET(INDIRECT(rF1.BrickListNumber),MIN(rF1.BrickProductSelection*1,COUNTA(rF1.BrickList01)),rF1.ColumnPlacementFactor,1,1))</f>
        <v>625</v>
      </c>
      <c r="N160" s="332">
        <f ca="1">OFFSET(INDIRECT(rF1.BrickListNumber),MIN(rF1.BrickProductSelection*1,COUNTA(rF1.BrickList02)),rF1.ColumnPlacementFactor,1,1)</f>
        <v>432.5</v>
      </c>
      <c r="O160" s="332">
        <f ca="1">OFFSET(INDIRECT(rF1.BrickListNumber),MIN(rF1.BrickProductSelection*1,COUNTA(rF1.BrickList03)),rF1.ColumnPlacementFactor,1,1)</f>
        <v>342</v>
      </c>
      <c r="P160" s="319"/>
      <c r="Q160" s="319"/>
      <c r="R160" s="403"/>
      <c r="S160" s="155"/>
      <c r="T160" s="238">
        <v>0.59</v>
      </c>
      <c r="U160" s="209">
        <f t="shared" ca="1" si="14"/>
        <v>383.34660000000008</v>
      </c>
      <c r="V160" s="118">
        <f t="shared" ca="1" si="18"/>
        <v>5.745249999999999E-2</v>
      </c>
      <c r="W160" s="204">
        <f t="shared" ca="1" si="19"/>
        <v>22.0242205365</v>
      </c>
      <c r="Y160" s="209">
        <f t="shared" ca="1" si="15"/>
        <v>383.34660000000008</v>
      </c>
      <c r="Z160" s="118">
        <f t="shared" ca="1" si="20"/>
        <v>5.745249999999999E-2</v>
      </c>
      <c r="AA160" s="204">
        <f t="shared" ca="1" si="21"/>
        <v>22.0242205365</v>
      </c>
      <c r="AC160" s="209">
        <f t="shared" ca="1" si="22"/>
        <v>0.12537499999999999</v>
      </c>
      <c r="AD160" s="118">
        <f t="shared" ca="1" si="23"/>
        <v>0</v>
      </c>
      <c r="AE160" s="118">
        <f t="shared" ca="1" si="24"/>
        <v>0.12537499999999999</v>
      </c>
      <c r="AF160" s="118">
        <f t="shared" ca="1" si="16"/>
        <v>0.31803529411764703</v>
      </c>
      <c r="AG160" s="118">
        <f t="shared" ca="1" si="17"/>
        <v>398.28619999999995</v>
      </c>
      <c r="AH160" s="204">
        <f t="shared" ca="1" si="25"/>
        <v>49.935132324999991</v>
      </c>
      <c r="AI160" s="259"/>
    </row>
    <row r="161" spans="3:35" ht="15.75" x14ac:dyDescent="0.2">
      <c r="C161" s="308">
        <v>1</v>
      </c>
      <c r="K161" s="331" t="s">
        <v>504</v>
      </c>
      <c r="L161" s="266" t="s">
        <v>506</v>
      </c>
      <c r="M161" s="309"/>
      <c r="N161" s="309">
        <f ca="1">IF(OR(rF1.CheckBendingMomentSlabTop,rF1.CheckBendingMomentSlabBottom),rP1.StiffnessFactorHinged,OFFSET(rL1.Wall02Head,rF1.WallBearingTopSelection,rF1.ColumnPlacementFactor,1,1))</f>
        <v>4</v>
      </c>
      <c r="O161" s="309">
        <f ca="1">OFFSET(rL1.Wall03Head,rF1.WallBearingTopSelection,rF1.ColumnPlacementFactor,1,1)</f>
        <v>4</v>
      </c>
      <c r="P161" s="309"/>
      <c r="Q161" s="309"/>
      <c r="S161" s="155"/>
      <c r="T161" s="238">
        <v>0.6</v>
      </c>
      <c r="U161" s="209">
        <f t="shared" ca="1" si="14"/>
        <v>389.84400000000005</v>
      </c>
      <c r="V161" s="118">
        <f t="shared" ca="1" si="18"/>
        <v>5.6349999999999983E-2</v>
      </c>
      <c r="W161" s="204">
        <f t="shared" ca="1" si="19"/>
        <v>21.967709399999997</v>
      </c>
      <c r="Y161" s="209">
        <f t="shared" ca="1" si="15"/>
        <v>389.84400000000005</v>
      </c>
      <c r="Z161" s="118">
        <f t="shared" ca="1" si="20"/>
        <v>5.6349999999999983E-2</v>
      </c>
      <c r="AA161" s="204">
        <f t="shared" ca="1" si="21"/>
        <v>21.967709399999997</v>
      </c>
      <c r="AC161" s="209">
        <f t="shared" ca="1" si="22"/>
        <v>0.1275</v>
      </c>
      <c r="AD161" s="118">
        <f t="shared" ca="1" si="23"/>
        <v>0</v>
      </c>
      <c r="AE161" s="118">
        <f t="shared" ca="1" si="24"/>
        <v>0.1275</v>
      </c>
      <c r="AF161" s="118">
        <f t="shared" ca="1" si="16"/>
        <v>0.30663529411764701</v>
      </c>
      <c r="AG161" s="118">
        <f t="shared" ca="1" si="17"/>
        <v>384.00959999999992</v>
      </c>
      <c r="AH161" s="204">
        <f t="shared" ca="1" si="25"/>
        <v>48.961223999999987</v>
      </c>
      <c r="AI161" s="259"/>
    </row>
    <row r="162" spans="3:35" ht="15.75" x14ac:dyDescent="0.2">
      <c r="C162" s="308">
        <v>1</v>
      </c>
      <c r="K162" s="183" t="s">
        <v>505</v>
      </c>
      <c r="L162" s="146" t="s">
        <v>507</v>
      </c>
      <c r="M162" s="319">
        <f ca="1">IF(rF1.CheckFoundation,"Inf.",OFFSET(rL1.Wall01Head,rF1.WallBearingBottomSelection,rF1.ColumnPlacementFactor,1,1))</f>
        <v>4</v>
      </c>
      <c r="N162" s="319">
        <f ca="1">IF(rF1.CheckBendingMomentSlabBottom,rP1.StiffnessFactorHinged,OFFSET(rL1.Wall02Head,rF1.WallBearingBottomSelection,rF1.ColumnPlacementFactor,1,1))</f>
        <v>4</v>
      </c>
      <c r="O162" s="319"/>
      <c r="P162" s="319"/>
      <c r="Q162" s="319"/>
      <c r="R162" s="403"/>
      <c r="S162" s="155"/>
      <c r="T162" s="238">
        <v>0.61</v>
      </c>
      <c r="U162" s="209">
        <f t="shared" ca="1" si="14"/>
        <v>396.34140000000008</v>
      </c>
      <c r="V162" s="118">
        <f t="shared" ca="1" si="18"/>
        <v>5.5247499999999977E-2</v>
      </c>
      <c r="W162" s="204">
        <f t="shared" ca="1" si="19"/>
        <v>21.896871496499994</v>
      </c>
      <c r="Y162" s="209">
        <f t="shared" ca="1" si="15"/>
        <v>396.34140000000008</v>
      </c>
      <c r="Z162" s="118">
        <f t="shared" ca="1" si="20"/>
        <v>5.5247499999999977E-2</v>
      </c>
      <c r="AA162" s="204">
        <f t="shared" ca="1" si="21"/>
        <v>21.896871496499994</v>
      </c>
      <c r="AC162" s="209">
        <f t="shared" ca="1" si="22"/>
        <v>0.12962499999999999</v>
      </c>
      <c r="AD162" s="118">
        <f t="shared" ca="1" si="23"/>
        <v>0</v>
      </c>
      <c r="AE162" s="118">
        <f t="shared" ca="1" si="24"/>
        <v>0.12962499999999999</v>
      </c>
      <c r="AF162" s="118">
        <f t="shared" ca="1" si="16"/>
        <v>0.29523529411764704</v>
      </c>
      <c r="AG162" s="118">
        <f t="shared" ca="1" si="17"/>
        <v>369.73299999999995</v>
      </c>
      <c r="AH162" s="204">
        <f t="shared" ca="1" si="25"/>
        <v>47.926640124999992</v>
      </c>
      <c r="AI162" s="259"/>
    </row>
    <row r="163" spans="3:35" ht="15.75" x14ac:dyDescent="0.2">
      <c r="C163" s="308"/>
      <c r="K163" s="266" t="s">
        <v>282</v>
      </c>
      <c r="L163" s="266" t="s">
        <v>360</v>
      </c>
      <c r="M163" s="333">
        <f>rF1.WallLenght*rF1.BearingDepthTop^3/12</f>
        <v>4.1666666666666666E-3</v>
      </c>
      <c r="N163" s="333">
        <f>rF1.WallLenght*((rF1.BearingDepthTop02+rF1.BearingDepthBottom02)/2)^3/12</f>
        <v>2.4510208333333333E-3</v>
      </c>
      <c r="O163" s="333"/>
      <c r="P163" s="309"/>
      <c r="Q163" s="309"/>
      <c r="R163" s="403"/>
      <c r="S163" s="155"/>
      <c r="T163" s="238">
        <v>0.62</v>
      </c>
      <c r="U163" s="209">
        <f t="shared" ca="1" si="14"/>
        <v>402.83880000000005</v>
      </c>
      <c r="V163" s="118">
        <f t="shared" ca="1" si="18"/>
        <v>5.4144999999999985E-2</v>
      </c>
      <c r="W163" s="204">
        <f t="shared" ca="1" si="19"/>
        <v>21.811706825999998</v>
      </c>
      <c r="Y163" s="209">
        <f t="shared" ca="1" si="15"/>
        <v>402.83880000000005</v>
      </c>
      <c r="Z163" s="118">
        <f t="shared" ca="1" si="20"/>
        <v>5.4144999999999985E-2</v>
      </c>
      <c r="AA163" s="204">
        <f t="shared" ca="1" si="21"/>
        <v>21.811706825999998</v>
      </c>
      <c r="AC163" s="209">
        <f t="shared" ca="1" si="22"/>
        <v>0.13175000000000001</v>
      </c>
      <c r="AD163" s="118">
        <f t="shared" ca="1" si="23"/>
        <v>0</v>
      </c>
      <c r="AE163" s="118">
        <f t="shared" ca="1" si="24"/>
        <v>0.13175000000000001</v>
      </c>
      <c r="AF163" s="118">
        <f t="shared" ca="1" si="16"/>
        <v>0.28383529411764702</v>
      </c>
      <c r="AG163" s="118">
        <f t="shared" ca="1" si="17"/>
        <v>355.45639999999997</v>
      </c>
      <c r="AH163" s="204">
        <f t="shared" ca="1" si="25"/>
        <v>46.831380699999997</v>
      </c>
      <c r="AI163" s="259"/>
    </row>
    <row r="164" spans="3:35" ht="15.75" x14ac:dyDescent="0.2">
      <c r="C164" s="308"/>
      <c r="K164" s="146" t="s">
        <v>283</v>
      </c>
      <c r="L164" s="146" t="s">
        <v>361</v>
      </c>
      <c r="M164" s="334"/>
      <c r="N164" s="334">
        <f>rF1.WallLenght*((rF1.BearingDepthTop02+rF1.BearingDepthBottom02)/2)^3/12</f>
        <v>2.4510208333333333E-3</v>
      </c>
      <c r="O164" s="334">
        <f>rF1.WallLenght*rF1.BearingDepthBottom^3/12</f>
        <v>2.4510208333333333E-3</v>
      </c>
      <c r="P164" s="319"/>
      <c r="Q164" s="319"/>
      <c r="R164" s="403"/>
      <c r="S164" s="155"/>
      <c r="T164" s="238">
        <v>0.63</v>
      </c>
      <c r="U164" s="209">
        <f t="shared" ref="U164:U195" ca="1" si="26">IF(rF1.CheckWoodenSlabCalc,0,rF1.PlotAxForceFactor*rF1.PlotAxResistanceMaxTop)</f>
        <v>409.33620000000008</v>
      </c>
      <c r="V164" s="118">
        <f t="shared" ca="1" si="18"/>
        <v>5.3042499999999992E-2</v>
      </c>
      <c r="W164" s="204">
        <f t="shared" ca="1" si="19"/>
        <v>21.712215388500002</v>
      </c>
      <c r="Y164" s="209">
        <f t="shared" ref="Y164:Y195" ca="1" si="27">IF(rF1.CheckWoodenSlabCalc,0,rF1.PlotAxForceFactor*rF1.PlotAxResistanceMaxBottom)</f>
        <v>409.33620000000008</v>
      </c>
      <c r="Z164" s="118">
        <f t="shared" ca="1" si="20"/>
        <v>5.3042499999999992E-2</v>
      </c>
      <c r="AA164" s="204">
        <f t="shared" ca="1" si="21"/>
        <v>21.712215388500002</v>
      </c>
      <c r="AC164" s="209">
        <f t="shared" ca="1" si="22"/>
        <v>0.13387499999999999</v>
      </c>
      <c r="AD164" s="118">
        <f t="shared" ca="1" si="23"/>
        <v>0</v>
      </c>
      <c r="AE164" s="118">
        <f t="shared" ca="1" si="24"/>
        <v>0.13387499999999999</v>
      </c>
      <c r="AF164" s="118">
        <f t="shared" ref="AF164:AF195" ca="1" si="28">MIN(1.14*(1-2*rF1.PlotExcentricityTotalMiddle/rF1.WallThickness02)-0.024*rF1.WallHeightEffective/rF1.WallThickness02,1-2*rF1.PlotExcentricityTotalMiddle/rF1.WallThickness02)</f>
        <v>0.272435294117647</v>
      </c>
      <c r="AG164" s="118">
        <f t="shared" ref="AG164:AG195" ca="1" si="29">IF(rF1.CheckWoodenSlabCalc,0,rF1.PlotReductionParameterMiddle*rF1.WallThickness02*rF1.ReductionMasonryStrenghtArea02*rF1.ReductionMasonryStrengthLongTerm*rF1.MasonryStrenghtChar02/rF1.SafetyFactorMaterial02*1000)</f>
        <v>341.17979999999994</v>
      </c>
      <c r="AH164" s="204">
        <f t="shared" ca="1" si="25"/>
        <v>45.675445724999989</v>
      </c>
      <c r="AI164" s="259"/>
    </row>
    <row r="165" spans="3:35" ht="15.75" x14ac:dyDescent="0.2">
      <c r="C165" s="308"/>
      <c r="K165" s="266" t="s">
        <v>284</v>
      </c>
      <c r="L165" s="266" t="s">
        <v>44</v>
      </c>
      <c r="M165" s="309" t="str">
        <f>IF(OR(rF1.CheckConcreteWall,rF1.CheckFoundation=1),"-",rP1.MasonryStiffnessFactor)</f>
        <v>-</v>
      </c>
      <c r="N165" s="309">
        <f>rP1.MasonryStiffnessFactor</f>
        <v>1100</v>
      </c>
      <c r="O165" s="309">
        <f>rP1.MasonryStiffnessFactor</f>
        <v>1100</v>
      </c>
      <c r="P165" s="309"/>
      <c r="Q165" s="309"/>
      <c r="R165" s="403"/>
      <c r="S165" s="155"/>
      <c r="T165" s="238">
        <v>0.64</v>
      </c>
      <c r="U165" s="209">
        <f t="shared" ca="1" si="26"/>
        <v>415.8336000000001</v>
      </c>
      <c r="V165" s="118">
        <f t="shared" ref="V165:V201" ca="1" si="30">rF1.PlotWallThicknessNettoTop/2-rF1.PlotAxForceTop*rF1.SafetyFactorMaterial02/(1000*2*rF1.MasonryStrenghtChar02*rF1.ReductionMasonryStrenghtArea02*rF1.ReductionMasonryStrengthLongTerm)</f>
        <v>5.1939999999999986E-2</v>
      </c>
      <c r="W165" s="204">
        <f t="shared" ref="W165:W196" ca="1" si="31">rF1.PlotAxForceTop*rF1.PlotExcentricityTop</f>
        <v>21.598397184</v>
      </c>
      <c r="Y165" s="209">
        <f t="shared" ca="1" si="27"/>
        <v>415.8336000000001</v>
      </c>
      <c r="Z165" s="118">
        <f t="shared" ref="Z165:Z201" ca="1" si="32">rF1.PlotWallThicknessNettoBottom/2-rF1.PlotAxForceBottom*rF1.SafetyFactorMaterial02/(1000*2*rF1.MasonryStrenghtChar02*rF1.ReductionMasonryStrenghtArea02*rF1.ReductionMasonryStrengthLongTerm)</f>
        <v>5.1939999999999986E-2</v>
      </c>
      <c r="AA165" s="204">
        <f t="shared" ref="AA165:AA196" ca="1" si="33">rF1.PlotAxForceBottom*rF1.PlotExcentricityBottom</f>
        <v>21.598397184</v>
      </c>
      <c r="AC165" s="209">
        <f t="shared" ref="AC165:AC201" ca="1" si="34">rF1.PlotAxForceFactor*rF1.PlotExcentricityLoadMax</f>
        <v>0.13600000000000001</v>
      </c>
      <c r="AD165" s="118">
        <f t="shared" ref="AD165:AD196" ca="1" si="35">IF(rF1.WallSlenderness02&lt;=rP1.MaxSlendernessCreepEcc,0,0.002*rP1.CreepCoefficient*rF1.WallHeightBuckling/rF1.WallHeight02*SQRT(rF1.WallHeight02*rF1.PlotExcentricityLoadMiddle))</f>
        <v>0</v>
      </c>
      <c r="AE165" s="118">
        <f t="shared" ref="AE165:AE196" ca="1" si="36">MAX(rF1.PlotExcentricityCreepMiddle+rF1.PlotExcentricityLoadMiddle,0.05*rF1.WallThickness02)</f>
        <v>0.13600000000000001</v>
      </c>
      <c r="AF165" s="118">
        <f t="shared" ca="1" si="28"/>
        <v>0.26103529411764698</v>
      </c>
      <c r="AG165" s="118">
        <f t="shared" ca="1" si="29"/>
        <v>326.90319999999991</v>
      </c>
      <c r="AH165" s="204">
        <f t="shared" ref="AH165:AH196" ca="1" si="37">rF1.PlotExcentricityTotalMiddle*rF1.PlotAxForceMiddle</f>
        <v>44.458835199999989</v>
      </c>
      <c r="AI165" s="259"/>
    </row>
    <row r="166" spans="3:35" ht="15.75" x14ac:dyDescent="0.2">
      <c r="C166" s="308"/>
      <c r="K166" s="146" t="s">
        <v>285</v>
      </c>
      <c r="L166" s="335" t="s">
        <v>46</v>
      </c>
      <c r="M166" s="336"/>
      <c r="N166" s="336">
        <f>rP1.CreepCoefficient</f>
        <v>1</v>
      </c>
      <c r="O166" s="336"/>
      <c r="P166" s="319"/>
      <c r="Q166" s="319"/>
      <c r="R166" s="403"/>
      <c r="S166" s="155"/>
      <c r="T166" s="238">
        <v>0.65</v>
      </c>
      <c r="U166" s="209">
        <f t="shared" ca="1" si="26"/>
        <v>422.33100000000007</v>
      </c>
      <c r="V166" s="118">
        <f t="shared" ca="1" si="30"/>
        <v>5.0837499999999994E-2</v>
      </c>
      <c r="W166" s="204">
        <f t="shared" ca="1" si="31"/>
        <v>21.4702522125</v>
      </c>
      <c r="Y166" s="209">
        <f t="shared" ca="1" si="27"/>
        <v>422.33100000000007</v>
      </c>
      <c r="Z166" s="118">
        <f t="shared" ca="1" si="32"/>
        <v>5.0837499999999994E-2</v>
      </c>
      <c r="AA166" s="204">
        <f t="shared" ca="1" si="33"/>
        <v>21.4702522125</v>
      </c>
      <c r="AC166" s="209">
        <f t="shared" ca="1" si="34"/>
        <v>0.138125</v>
      </c>
      <c r="AD166" s="118">
        <f t="shared" ca="1" si="35"/>
        <v>0</v>
      </c>
      <c r="AE166" s="118">
        <f t="shared" ca="1" si="36"/>
        <v>0.138125</v>
      </c>
      <c r="AF166" s="118">
        <f t="shared" ca="1" si="28"/>
        <v>0.24963529411764701</v>
      </c>
      <c r="AG166" s="118">
        <f t="shared" ca="1" si="29"/>
        <v>312.62659999999994</v>
      </c>
      <c r="AH166" s="204">
        <f t="shared" ca="1" si="37"/>
        <v>43.181549124999989</v>
      </c>
      <c r="AI166" s="259"/>
    </row>
    <row r="167" spans="3:35" x14ac:dyDescent="0.2">
      <c r="C167" s="308">
        <v>4</v>
      </c>
      <c r="K167" s="266" t="s">
        <v>286</v>
      </c>
      <c r="L167" s="266" t="s">
        <v>47</v>
      </c>
      <c r="M167" s="337">
        <f ca="1">IF(rF1.CheckFoundation,"Inf.",IF(rF1.CheckConcreteWall,OFFSET(rD3.Knoten,MIN(rF1.ConcreteFillSelection*1,COUNTA(rF1.ConcreteFillList01)),rF1.ColumnPlacementFactor,1,1),rF1.MasonryStrenghtChar*rF1.MasonryStiffnessFactor))</f>
        <v>30000</v>
      </c>
      <c r="N167" s="337">
        <f ca="1">rF1.MasonryStrenghtChar*rF1.MasonryStiffnessFactor</f>
        <v>5720</v>
      </c>
      <c r="O167" s="337">
        <f ca="1">IF(rF1.CheckWallNotExisting=1,0,rF1.MasonryStrenghtChar*rF1.MasonryStiffnessFactor)</f>
        <v>5170</v>
      </c>
      <c r="P167" s="309"/>
      <c r="Q167" s="309"/>
      <c r="R167" s="403"/>
      <c r="S167" s="155"/>
      <c r="T167" s="238">
        <v>0.66</v>
      </c>
      <c r="U167" s="209">
        <f t="shared" ca="1" si="26"/>
        <v>428.8284000000001</v>
      </c>
      <c r="V167" s="118">
        <f t="shared" ca="1" si="30"/>
        <v>4.9734999999999974E-2</v>
      </c>
      <c r="W167" s="204">
        <f t="shared" ca="1" si="31"/>
        <v>21.327780473999994</v>
      </c>
      <c r="Y167" s="209">
        <f t="shared" ca="1" si="27"/>
        <v>428.8284000000001</v>
      </c>
      <c r="Z167" s="118">
        <f t="shared" ca="1" si="32"/>
        <v>4.9734999999999974E-2</v>
      </c>
      <c r="AA167" s="204">
        <f t="shared" ca="1" si="33"/>
        <v>21.327780473999994</v>
      </c>
      <c r="AC167" s="209">
        <f t="shared" ca="1" si="34"/>
        <v>0.14025000000000001</v>
      </c>
      <c r="AD167" s="118">
        <f t="shared" ca="1" si="35"/>
        <v>0</v>
      </c>
      <c r="AE167" s="118">
        <f t="shared" ca="1" si="36"/>
        <v>0.14025000000000001</v>
      </c>
      <c r="AF167" s="118">
        <f t="shared" ca="1" si="28"/>
        <v>0.23823529411764699</v>
      </c>
      <c r="AG167" s="118">
        <f t="shared" ca="1" si="29"/>
        <v>298.34999999999997</v>
      </c>
      <c r="AH167" s="204">
        <f t="shared" ca="1" si="37"/>
        <v>41.843587499999998</v>
      </c>
      <c r="AI167" s="259"/>
    </row>
    <row r="168" spans="3:35" ht="15.75" x14ac:dyDescent="0.2">
      <c r="C168" s="308"/>
      <c r="E168" s="145">
        <f ca="1">IF(rF1.WallStiffnessTop01="Inf.",9.99999999999999E+23,rF1.WallStiffnessTop01)</f>
        <v>200000</v>
      </c>
      <c r="K168" s="146" t="s">
        <v>287</v>
      </c>
      <c r="L168" s="146" t="s">
        <v>362</v>
      </c>
      <c r="M168" s="338">
        <f ca="1">IF(OR(rF1.WallBearingBottom="Inf.",rF1.MasonryElasticity="Inf."),"Inf.",rF1.WallBearingBottom*rF1.MasonryElasticity*1000*rF1.InertiaTop/rF1.WallHeight)</f>
        <v>200000</v>
      </c>
      <c r="N168" s="338">
        <f ca="1">IF(rF1.CheckBendingMomentSlabTop,0,rF1.WallBearingBottom*rF1.MasonryElasticity*1000*rF1.InertiaTop/rF1.WallHeight)</f>
        <v>21202.025204788908</v>
      </c>
      <c r="O168" s="338"/>
      <c r="P168" s="319"/>
      <c r="Q168" s="319"/>
      <c r="R168" s="403"/>
      <c r="S168" s="155"/>
      <c r="T168" s="238">
        <v>0.67</v>
      </c>
      <c r="U168" s="209">
        <f t="shared" ca="1" si="26"/>
        <v>435.32580000000013</v>
      </c>
      <c r="V168" s="118">
        <f t="shared" ca="1" si="30"/>
        <v>4.8632499999999967E-2</v>
      </c>
      <c r="W168" s="204">
        <f t="shared" ca="1" si="31"/>
        <v>21.170981968499991</v>
      </c>
      <c r="Y168" s="209">
        <f t="shared" ca="1" si="27"/>
        <v>435.32580000000013</v>
      </c>
      <c r="Z168" s="118">
        <f t="shared" ca="1" si="32"/>
        <v>4.8632499999999967E-2</v>
      </c>
      <c r="AA168" s="204">
        <f t="shared" ca="1" si="33"/>
        <v>21.170981968499991</v>
      </c>
      <c r="AC168" s="209">
        <f t="shared" ca="1" si="34"/>
        <v>0.142375</v>
      </c>
      <c r="AD168" s="118">
        <f t="shared" ca="1" si="35"/>
        <v>0</v>
      </c>
      <c r="AE168" s="118">
        <f t="shared" ca="1" si="36"/>
        <v>0.142375</v>
      </c>
      <c r="AF168" s="118">
        <f t="shared" ca="1" si="28"/>
        <v>0.22683529411764697</v>
      </c>
      <c r="AG168" s="118">
        <f t="shared" ca="1" si="29"/>
        <v>284.07339999999988</v>
      </c>
      <c r="AH168" s="204">
        <f t="shared" ca="1" si="37"/>
        <v>40.444950324999986</v>
      </c>
      <c r="AI168" s="259"/>
    </row>
    <row r="169" spans="3:35" ht="15.75" x14ac:dyDescent="0.2">
      <c r="C169" s="308"/>
      <c r="G169" s="145">
        <f ca="1">IF(rF1.WallStiffnessBottom03="Inf.",9.99999999999999E+23,rF1.WallStiffnessBottom03)</f>
        <v>19163.368935097667</v>
      </c>
      <c r="K169" s="266" t="s">
        <v>288</v>
      </c>
      <c r="L169" s="266" t="s">
        <v>363</v>
      </c>
      <c r="M169" s="339"/>
      <c r="N169" s="339">
        <f ca="1">IF(rF1.CheckBendingMomentSlabBottom,0,rF1.WallBearingTop*rF1.MasonryElasticity*1000*rF1.InertiaBottom/rF1.WallHeight)</f>
        <v>21202.025204788908</v>
      </c>
      <c r="O169" s="339">
        <f ca="1">IF(rF1.WallBearingTop="Inf.","Inf.",rF1.WallBearingTop*rF1.MasonryElasticity*1000*rF1.InertiaBottom/rF1.WallHeight)</f>
        <v>19163.368935097667</v>
      </c>
      <c r="P169" s="309"/>
      <c r="Q169" s="309"/>
      <c r="R169" s="403"/>
      <c r="S169" s="155"/>
      <c r="T169" s="238">
        <v>0.68</v>
      </c>
      <c r="U169" s="209">
        <f t="shared" ca="1" si="26"/>
        <v>441.8232000000001</v>
      </c>
      <c r="V169" s="118">
        <f t="shared" ca="1" si="30"/>
        <v>4.7529999999999975E-2</v>
      </c>
      <c r="W169" s="204">
        <f t="shared" ca="1" si="31"/>
        <v>20.999856695999995</v>
      </c>
      <c r="Y169" s="209">
        <f t="shared" ca="1" si="27"/>
        <v>441.8232000000001</v>
      </c>
      <c r="Z169" s="118">
        <f t="shared" ca="1" si="32"/>
        <v>4.7529999999999975E-2</v>
      </c>
      <c r="AA169" s="204">
        <f t="shared" ca="1" si="33"/>
        <v>20.999856695999995</v>
      </c>
      <c r="AC169" s="209">
        <f t="shared" ca="1" si="34"/>
        <v>0.14450000000000002</v>
      </c>
      <c r="AD169" s="118">
        <f t="shared" ca="1" si="35"/>
        <v>0</v>
      </c>
      <c r="AE169" s="118">
        <f t="shared" ca="1" si="36"/>
        <v>0.14450000000000002</v>
      </c>
      <c r="AF169" s="118">
        <f t="shared" ca="1" si="28"/>
        <v>0.21543529411764695</v>
      </c>
      <c r="AG169" s="118">
        <f t="shared" ca="1" si="29"/>
        <v>269.79679999999985</v>
      </c>
      <c r="AH169" s="204">
        <f t="shared" ca="1" si="37"/>
        <v>38.985637599999983</v>
      </c>
      <c r="AI169" s="259"/>
    </row>
    <row r="170" spans="3:35" ht="15.75" x14ac:dyDescent="0.2">
      <c r="C170" s="313"/>
      <c r="K170" s="146" t="s">
        <v>289</v>
      </c>
      <c r="L170" s="146" t="s">
        <v>48</v>
      </c>
      <c r="M170" s="315"/>
      <c r="N170" s="326">
        <f ca="1">rF1.WallHeightEffective/rF1.WallThickness</f>
        <v>6.223529411764706</v>
      </c>
      <c r="O170" s="315"/>
      <c r="P170" s="340" t="str">
        <f>rP2.OutputWallSlenderness&amp;" "&amp;rP1.MaxSlendernessWall</f>
        <v>Schlankheit &gt; 27</v>
      </c>
      <c r="Q170" s="319"/>
      <c r="R170" s="403"/>
      <c r="S170" s="155"/>
      <c r="T170" s="238">
        <v>0.69</v>
      </c>
      <c r="U170" s="209">
        <f t="shared" ca="1" si="26"/>
        <v>448.32060000000007</v>
      </c>
      <c r="V170" s="118">
        <f t="shared" ca="1" si="30"/>
        <v>4.6427499999999983E-2</v>
      </c>
      <c r="W170" s="204">
        <f t="shared" ca="1" si="31"/>
        <v>20.814404656499995</v>
      </c>
      <c r="Y170" s="209">
        <f t="shared" ca="1" si="27"/>
        <v>448.32060000000007</v>
      </c>
      <c r="Z170" s="118">
        <f t="shared" ca="1" si="32"/>
        <v>4.6427499999999983E-2</v>
      </c>
      <c r="AA170" s="204">
        <f t="shared" ca="1" si="33"/>
        <v>20.814404656499995</v>
      </c>
      <c r="AC170" s="209">
        <f t="shared" ca="1" si="34"/>
        <v>0.14662499999999998</v>
      </c>
      <c r="AD170" s="118">
        <f t="shared" ca="1" si="35"/>
        <v>0</v>
      </c>
      <c r="AE170" s="118">
        <f t="shared" ca="1" si="36"/>
        <v>0.14662499999999998</v>
      </c>
      <c r="AF170" s="118">
        <f t="shared" ca="1" si="28"/>
        <v>0.20403529411764709</v>
      </c>
      <c r="AG170" s="118">
        <f t="shared" ca="1" si="29"/>
        <v>255.52020000000002</v>
      </c>
      <c r="AH170" s="204">
        <f t="shared" ca="1" si="37"/>
        <v>37.465649324999994</v>
      </c>
      <c r="AI170" s="259"/>
    </row>
    <row r="171" spans="3:35" x14ac:dyDescent="0.2">
      <c r="K171" s="142" t="s">
        <v>290</v>
      </c>
      <c r="L171" s="142"/>
      <c r="M171" s="143" t="s">
        <v>255</v>
      </c>
      <c r="N171" s="143" t="s">
        <v>256</v>
      </c>
      <c r="O171" s="143" t="s">
        <v>257</v>
      </c>
      <c r="P171" s="143" t="s">
        <v>258</v>
      </c>
      <c r="Q171" s="192"/>
      <c r="R171" s="403"/>
      <c r="S171" s="155"/>
      <c r="T171" s="238">
        <v>0.7</v>
      </c>
      <c r="U171" s="209">
        <f t="shared" ca="1" si="26"/>
        <v>454.81800000000004</v>
      </c>
      <c r="V171" s="118">
        <f t="shared" ca="1" si="30"/>
        <v>4.532499999999999E-2</v>
      </c>
      <c r="W171" s="204">
        <f t="shared" ca="1" si="31"/>
        <v>20.614625849999996</v>
      </c>
      <c r="Y171" s="209">
        <f t="shared" ca="1" si="27"/>
        <v>454.81800000000004</v>
      </c>
      <c r="Z171" s="118">
        <f t="shared" ca="1" si="32"/>
        <v>4.532499999999999E-2</v>
      </c>
      <c r="AA171" s="204">
        <f t="shared" ca="1" si="33"/>
        <v>20.614625849999996</v>
      </c>
      <c r="AC171" s="209">
        <f t="shared" ca="1" si="34"/>
        <v>0.14874999999999999</v>
      </c>
      <c r="AD171" s="118">
        <f t="shared" ca="1" si="35"/>
        <v>0</v>
      </c>
      <c r="AE171" s="118">
        <f t="shared" ca="1" si="36"/>
        <v>0.14874999999999999</v>
      </c>
      <c r="AF171" s="118">
        <f t="shared" ca="1" si="28"/>
        <v>0.19263529411764707</v>
      </c>
      <c r="AG171" s="118">
        <f t="shared" ca="1" si="29"/>
        <v>241.24360000000001</v>
      </c>
      <c r="AH171" s="204">
        <f t="shared" ca="1" si="37"/>
        <v>35.884985499999999</v>
      </c>
      <c r="AI171" s="259"/>
    </row>
    <row r="172" spans="3:35" x14ac:dyDescent="0.2">
      <c r="C172" s="194">
        <v>0</v>
      </c>
      <c r="K172" s="146" t="s">
        <v>226</v>
      </c>
      <c r="L172" s="146"/>
      <c r="M172" s="341" t="str">
        <f ca="1">OFFSET(rL1.Slab01Head,rF1.SlabTypeSelection,rF1.ColumnPlacementFactor,1,1)</f>
        <v>zweiachsig gespannte Stahlbetondecke</v>
      </c>
      <c r="N172" s="341" t="str">
        <f ca="1">OFFSET(rL1.Slab02Head,rF1.SlabTypeSelection,rF1.ColumnPlacementFactor,1,1)</f>
        <v>zweiachsig gespannte Stahlbetondecke</v>
      </c>
      <c r="O172" s="341" t="str">
        <f ca="1">OFFSET(rF1.Slab03List,MIN(rF1.SlabTypeSelection*1,COUNTA(rF1.Slab03List))-1,rF1.ColumnPlacementFactor,1,1)</f>
        <v>nicht vorhanden</v>
      </c>
      <c r="P172" s="341" t="str">
        <f ca="1">OFFSET(rF1.Slab04List,MIN(rF1.SlabTypeSelection*1,COUNTA(rF1.Slab04List))-1,rF1.ColumnPlacementFactor,1,1)</f>
        <v>Auskragung</v>
      </c>
      <c r="Q172" s="319"/>
      <c r="R172" s="403"/>
      <c r="S172" s="155"/>
      <c r="T172" s="238">
        <v>0.71</v>
      </c>
      <c r="U172" s="209">
        <f t="shared" ca="1" si="26"/>
        <v>461.31540000000007</v>
      </c>
      <c r="V172" s="118">
        <f t="shared" ca="1" si="30"/>
        <v>4.4222499999999984E-2</v>
      </c>
      <c r="W172" s="204">
        <f t="shared" ca="1" si="31"/>
        <v>20.400520276499996</v>
      </c>
      <c r="Y172" s="209">
        <f t="shared" ca="1" si="27"/>
        <v>461.31540000000007</v>
      </c>
      <c r="Z172" s="118">
        <f t="shared" ca="1" si="32"/>
        <v>4.4222499999999984E-2</v>
      </c>
      <c r="AA172" s="204">
        <f t="shared" ca="1" si="33"/>
        <v>20.400520276499996</v>
      </c>
      <c r="AC172" s="209">
        <f t="shared" ca="1" si="34"/>
        <v>0.15087499999999998</v>
      </c>
      <c r="AD172" s="118">
        <f t="shared" ca="1" si="35"/>
        <v>0</v>
      </c>
      <c r="AE172" s="118">
        <f t="shared" ca="1" si="36"/>
        <v>0.15087499999999998</v>
      </c>
      <c r="AF172" s="118">
        <f t="shared" ca="1" si="28"/>
        <v>0.18123529411764705</v>
      </c>
      <c r="AG172" s="118">
        <f t="shared" ca="1" si="29"/>
        <v>226.96700000000001</v>
      </c>
      <c r="AH172" s="204">
        <f t="shared" ca="1" si="37"/>
        <v>34.243646124999998</v>
      </c>
      <c r="AI172" s="259"/>
    </row>
    <row r="173" spans="3:35" x14ac:dyDescent="0.2">
      <c r="C173" s="308">
        <v>0</v>
      </c>
      <c r="K173" s="266" t="s">
        <v>219</v>
      </c>
      <c r="L173" s="266"/>
      <c r="M173" s="342" t="str">
        <f ca="1">IF(rF1.CheckWoodenSlab01,"-",OFFSET(rL1.SlabBearingHead,rF1.SlabBearingSelection,rF1.ColumnPlacementFactor,1,1))</f>
        <v>eingespannt</v>
      </c>
      <c r="N173" s="342" t="str">
        <f ca="1">IF(rF1.CheckWoodenSlab02,"-",OFFSET(rL1.SlabBearingHead,rF1.SlabBearingSelection,rF1.ColumnPlacementFactor,1,1))</f>
        <v>eingespannt</v>
      </c>
      <c r="O173" s="342" t="str">
        <f ca="1">IF(OR(rF1.CheckWoodenSlab03,rF1.SlabType=rP1.CheckWordCantilever),"-",OFFSET(rL1.SlabBearingHead,rF1.SlabBearingSelection,rF1.ColumnPlacementFactor,1,1))</f>
        <v>eingespannt</v>
      </c>
      <c r="P173" s="342" t="str">
        <f ca="1">IF(OR(rF1.CheckWoodenSlab04,rF1.SlabType=rP1.CheckWordCantilever),"-",OFFSET(rL1.SlabBearingHead,rF1.SlabBearingSelection,rF1.ColumnPlacementFactor,1,1))</f>
        <v>-</v>
      </c>
      <c r="Q173" s="309"/>
      <c r="S173" s="155"/>
      <c r="T173" s="238">
        <v>0.72</v>
      </c>
      <c r="U173" s="209">
        <f t="shared" ca="1" si="26"/>
        <v>467.8128000000001</v>
      </c>
      <c r="V173" s="118">
        <f t="shared" ca="1" si="30"/>
        <v>4.3119999999999992E-2</v>
      </c>
      <c r="W173" s="204">
        <f t="shared" ca="1" si="31"/>
        <v>20.172087936</v>
      </c>
      <c r="Y173" s="209">
        <f t="shared" ca="1" si="27"/>
        <v>467.8128000000001</v>
      </c>
      <c r="Z173" s="118">
        <f t="shared" ca="1" si="32"/>
        <v>4.3119999999999992E-2</v>
      </c>
      <c r="AA173" s="204">
        <f t="shared" ca="1" si="33"/>
        <v>20.172087936</v>
      </c>
      <c r="AC173" s="209">
        <f t="shared" ca="1" si="34"/>
        <v>0.153</v>
      </c>
      <c r="AD173" s="118">
        <f t="shared" ca="1" si="35"/>
        <v>0</v>
      </c>
      <c r="AE173" s="118">
        <f t="shared" ca="1" si="36"/>
        <v>0.153</v>
      </c>
      <c r="AF173" s="118">
        <f t="shared" ca="1" si="28"/>
        <v>0.16983529411764703</v>
      </c>
      <c r="AG173" s="118">
        <f t="shared" ca="1" si="29"/>
        <v>212.69039999999995</v>
      </c>
      <c r="AH173" s="204">
        <f t="shared" ca="1" si="37"/>
        <v>32.541631199999991</v>
      </c>
      <c r="AI173" s="259"/>
    </row>
    <row r="174" spans="3:35" ht="15.75" x14ac:dyDescent="0.2">
      <c r="C174" s="308">
        <v>1</v>
      </c>
      <c r="K174" s="146" t="s">
        <v>281</v>
      </c>
      <c r="L174" s="146" t="s">
        <v>50</v>
      </c>
      <c r="M174" s="336">
        <f ca="1">IF(rF1.CheckWoodenSlab01,"-",IF(rF1.SlabType=rP1.CheckWordCantilever,rP1.StiffnessFactorBearingCantilever,OFFSET(rL1.SlabBearingHead,rF1.SlabBearingSelection,rF1.ColumnPlacementFactor,1,1)))</f>
        <v>4</v>
      </c>
      <c r="N174" s="336">
        <f ca="1">IF(rF1.CheckWoodenSlab02,"-",IF(rF1.SlabType=rP1.CheckWordCantilever,rP1.StiffnessFactorBearingCantilever,OFFSET(rL1.SlabBearingHead,rF1.SlabBearingSelection,rF1.ColumnPlacementFactor,1,1)))</f>
        <v>4</v>
      </c>
      <c r="O174" s="336">
        <f ca="1">IF(rF1.CheckWoodenSlab03,"-",IF(rF1.SlabType=rP1.CheckWordCantilever,rP1.StiffnessFactorBearingCantilever,OFFSET(rL1.SlabBearingHead,rF1.SlabBearingSelection,rF1.ColumnPlacementFactor,1,1)))</f>
        <v>4</v>
      </c>
      <c r="P174" s="336">
        <f ca="1">IF(rF1.CheckWoodenSlab04,"-",IF(rF1.SlabType=rP1.CheckWordCantilever,rP1.StiffnessFactorBearingCantilever,OFFSET(rL1.SlabBearingHead,rF1.SlabBearingSelection,rF1.ColumnPlacementFactor,1,1)))</f>
        <v>1.5</v>
      </c>
      <c r="Q174" s="336"/>
      <c r="R174" s="403"/>
      <c r="S174" s="155"/>
      <c r="T174" s="238">
        <v>0.73</v>
      </c>
      <c r="U174" s="209">
        <f t="shared" ca="1" si="26"/>
        <v>474.31020000000007</v>
      </c>
      <c r="V174" s="118">
        <f t="shared" ca="1" si="30"/>
        <v>4.2017499999999985E-2</v>
      </c>
      <c r="W174" s="204">
        <f t="shared" ca="1" si="31"/>
        <v>19.929328828499997</v>
      </c>
      <c r="Y174" s="209">
        <f t="shared" ca="1" si="27"/>
        <v>474.31020000000007</v>
      </c>
      <c r="Z174" s="118">
        <f t="shared" ca="1" si="32"/>
        <v>4.2017499999999985E-2</v>
      </c>
      <c r="AA174" s="204">
        <f t="shared" ca="1" si="33"/>
        <v>19.929328828499997</v>
      </c>
      <c r="AC174" s="209">
        <f t="shared" ca="1" si="34"/>
        <v>0.15512499999999999</v>
      </c>
      <c r="AD174" s="118">
        <f t="shared" ca="1" si="35"/>
        <v>0</v>
      </c>
      <c r="AE174" s="118">
        <f t="shared" ca="1" si="36"/>
        <v>0.15512499999999999</v>
      </c>
      <c r="AF174" s="118">
        <f t="shared" ca="1" si="28"/>
        <v>0.15843529411764706</v>
      </c>
      <c r="AG174" s="118">
        <f t="shared" ca="1" si="29"/>
        <v>198.41380000000001</v>
      </c>
      <c r="AH174" s="204">
        <f t="shared" ca="1" si="37"/>
        <v>30.778940724999998</v>
      </c>
      <c r="AI174" s="259"/>
    </row>
    <row r="175" spans="3:35" x14ac:dyDescent="0.2">
      <c r="C175" s="308">
        <v>1</v>
      </c>
      <c r="K175" s="266" t="s">
        <v>291</v>
      </c>
      <c r="L175" s="266"/>
      <c r="M175" s="343">
        <f ca="1">OFFSET(rL1.Slab01Head,rF1.SlabTypeSelection,rF1.ColumnPlacementFactor,1,1)</f>
        <v>1.5</v>
      </c>
      <c r="N175" s="343">
        <f ca="1">OFFSET(rL1.Slab02Head,rF1.SlabTypeSelection,rF1.ColumnPlacementFactor,1,1)</f>
        <v>1.5</v>
      </c>
      <c r="O175" s="343">
        <f ca="1">OFFSET(rL1.Slab03Head,rF1.SlabTypeSelection,rF1.ColumnPlacementFactor,1,1)</f>
        <v>0</v>
      </c>
      <c r="P175" s="343">
        <f ca="1">OFFSET(rL1.Slab04Head,rF1.SlabTypeSelection,rF1.ColumnPlacementFactor,1,1)</f>
        <v>1</v>
      </c>
      <c r="Q175" s="309"/>
      <c r="R175" s="403"/>
      <c r="S175" s="155"/>
      <c r="T175" s="238">
        <v>0.74</v>
      </c>
      <c r="U175" s="209">
        <f t="shared" ca="1" si="26"/>
        <v>480.80760000000009</v>
      </c>
      <c r="V175" s="118">
        <f t="shared" ca="1" si="30"/>
        <v>4.0914999999999979E-2</v>
      </c>
      <c r="W175" s="204">
        <f t="shared" ca="1" si="31"/>
        <v>19.672242953999994</v>
      </c>
      <c r="Y175" s="209">
        <f t="shared" ca="1" si="27"/>
        <v>480.80760000000009</v>
      </c>
      <c r="Z175" s="118">
        <f t="shared" ca="1" si="32"/>
        <v>4.0914999999999979E-2</v>
      </c>
      <c r="AA175" s="204">
        <f t="shared" ca="1" si="33"/>
        <v>19.672242953999994</v>
      </c>
      <c r="AC175" s="209">
        <f t="shared" ca="1" si="34"/>
        <v>0.15725</v>
      </c>
      <c r="AD175" s="118">
        <f t="shared" ca="1" si="35"/>
        <v>0</v>
      </c>
      <c r="AE175" s="118">
        <f t="shared" ca="1" si="36"/>
        <v>0.15725</v>
      </c>
      <c r="AF175" s="118">
        <f t="shared" ca="1" si="28"/>
        <v>0.14703529411764704</v>
      </c>
      <c r="AG175" s="118">
        <f t="shared" ca="1" si="29"/>
        <v>184.13719999999998</v>
      </c>
      <c r="AH175" s="204">
        <f t="shared" ca="1" si="37"/>
        <v>28.955574699999996</v>
      </c>
      <c r="AI175" s="259"/>
    </row>
    <row r="176" spans="3:35" ht="15.75" x14ac:dyDescent="0.2">
      <c r="C176" s="308"/>
      <c r="K176" s="146" t="s">
        <v>227</v>
      </c>
      <c r="L176" s="146" t="s">
        <v>3</v>
      </c>
      <c r="M176" s="318">
        <f>rF1.SlabSpanPerpendicular</f>
        <v>5.5</v>
      </c>
      <c r="N176" s="318">
        <f>rF1.SlabSpanPerpendicular</f>
        <v>5.5</v>
      </c>
      <c r="O176" s="318">
        <f>rF1.SlabSpanPerpendicular</f>
        <v>5</v>
      </c>
      <c r="P176" s="318">
        <f>rF1.SlabSpanPerpendicular</f>
        <v>2</v>
      </c>
      <c r="Q176" s="319"/>
      <c r="R176" s="404"/>
      <c r="S176" s="155"/>
      <c r="T176" s="238">
        <v>0.75</v>
      </c>
      <c r="U176" s="209">
        <f t="shared" ca="1" si="26"/>
        <v>487.30500000000006</v>
      </c>
      <c r="V176" s="118">
        <f t="shared" ca="1" si="30"/>
        <v>3.9812499999999987E-2</v>
      </c>
      <c r="W176" s="204">
        <f t="shared" ca="1" si="31"/>
        <v>19.400830312499995</v>
      </c>
      <c r="Y176" s="209">
        <f t="shared" ca="1" si="27"/>
        <v>487.30500000000006</v>
      </c>
      <c r="Z176" s="118">
        <f t="shared" ca="1" si="32"/>
        <v>3.9812499999999987E-2</v>
      </c>
      <c r="AA176" s="204">
        <f t="shared" ca="1" si="33"/>
        <v>19.400830312499995</v>
      </c>
      <c r="AC176" s="209">
        <f t="shared" ca="1" si="34"/>
        <v>0.15937499999999999</v>
      </c>
      <c r="AD176" s="118">
        <f t="shared" ca="1" si="35"/>
        <v>0</v>
      </c>
      <c r="AE176" s="118">
        <f t="shared" ca="1" si="36"/>
        <v>0.15937499999999999</v>
      </c>
      <c r="AF176" s="118">
        <f t="shared" ca="1" si="28"/>
        <v>0.13563529411764702</v>
      </c>
      <c r="AG176" s="118">
        <f t="shared" ca="1" si="29"/>
        <v>169.86059999999992</v>
      </c>
      <c r="AH176" s="204">
        <f t="shared" ca="1" si="37"/>
        <v>27.071533124999984</v>
      </c>
      <c r="AI176" s="259"/>
    </row>
    <row r="177" spans="3:35" ht="15.75" x14ac:dyDescent="0.2">
      <c r="C177" s="308"/>
      <c r="K177" s="266" t="s">
        <v>228</v>
      </c>
      <c r="L177" s="266" t="s">
        <v>4</v>
      </c>
      <c r="M177" s="320">
        <f>rF1.SlabSpanParallel</f>
        <v>9.5</v>
      </c>
      <c r="N177" s="320">
        <f>rF1.SlabSpanParallel</f>
        <v>9.5</v>
      </c>
      <c r="O177" s="320">
        <f>rF1.SlabSpanParallel</f>
        <v>10</v>
      </c>
      <c r="P177" s="320">
        <f>rF1.SlabSpanParallel</f>
        <v>3.8</v>
      </c>
      <c r="Q177" s="309"/>
      <c r="R177" s="403"/>
      <c r="S177" s="155"/>
      <c r="T177" s="238">
        <v>0.76</v>
      </c>
      <c r="U177" s="209">
        <f t="shared" ca="1" si="26"/>
        <v>493.80240000000009</v>
      </c>
      <c r="V177" s="118">
        <f t="shared" ca="1" si="30"/>
        <v>3.8709999999999981E-2</v>
      </c>
      <c r="W177" s="204">
        <f t="shared" ca="1" si="31"/>
        <v>19.115090903999995</v>
      </c>
      <c r="Y177" s="209">
        <f t="shared" ca="1" si="27"/>
        <v>493.80240000000009</v>
      </c>
      <c r="Z177" s="118">
        <f t="shared" ca="1" si="32"/>
        <v>3.8709999999999981E-2</v>
      </c>
      <c r="AA177" s="204">
        <f t="shared" ca="1" si="33"/>
        <v>19.115090903999995</v>
      </c>
      <c r="AC177" s="209">
        <f t="shared" ca="1" si="34"/>
        <v>0.1615</v>
      </c>
      <c r="AD177" s="118">
        <f t="shared" ca="1" si="35"/>
        <v>0</v>
      </c>
      <c r="AE177" s="118">
        <f t="shared" ca="1" si="36"/>
        <v>0.1615</v>
      </c>
      <c r="AF177" s="118">
        <f t="shared" ca="1" si="28"/>
        <v>0.124235294117647</v>
      </c>
      <c r="AG177" s="118">
        <f t="shared" ca="1" si="29"/>
        <v>155.58399999999992</v>
      </c>
      <c r="AH177" s="204">
        <f t="shared" ca="1" si="37"/>
        <v>25.126815999999987</v>
      </c>
      <c r="AI177" s="259"/>
    </row>
    <row r="178" spans="3:35" x14ac:dyDescent="0.2">
      <c r="C178" s="308"/>
      <c r="K178" s="146" t="s">
        <v>229</v>
      </c>
      <c r="L178" s="146" t="s">
        <v>136</v>
      </c>
      <c r="M178" s="318">
        <f>rF1.SlabInfluenceWidth</f>
        <v>3.2</v>
      </c>
      <c r="N178" s="318">
        <f>rF1.SlabInfluenceWidth</f>
        <v>3.2</v>
      </c>
      <c r="O178" s="318">
        <f>rF1.SlabInfluenceWidth</f>
        <v>3.2</v>
      </c>
      <c r="P178" s="318">
        <f>rF1.SlabInfluenceWidth</f>
        <v>3.2</v>
      </c>
      <c r="Q178" s="319"/>
      <c r="R178" s="403"/>
      <c r="S178" s="155"/>
      <c r="T178" s="238">
        <v>0.77</v>
      </c>
      <c r="U178" s="209">
        <f t="shared" ca="1" si="26"/>
        <v>500.29980000000012</v>
      </c>
      <c r="V178" s="118">
        <f t="shared" ca="1" si="30"/>
        <v>3.7607499999999988E-2</v>
      </c>
      <c r="W178" s="204">
        <f t="shared" ca="1" si="31"/>
        <v>18.815024728499999</v>
      </c>
      <c r="Y178" s="209">
        <f t="shared" ca="1" si="27"/>
        <v>500.29980000000012</v>
      </c>
      <c r="Z178" s="118">
        <f t="shared" ca="1" si="32"/>
        <v>3.7607499999999988E-2</v>
      </c>
      <c r="AA178" s="204">
        <f t="shared" ca="1" si="33"/>
        <v>18.815024728499999</v>
      </c>
      <c r="AC178" s="209">
        <f t="shared" ca="1" si="34"/>
        <v>0.16362499999999999</v>
      </c>
      <c r="AD178" s="118">
        <f t="shared" ca="1" si="35"/>
        <v>0</v>
      </c>
      <c r="AE178" s="118">
        <f t="shared" ca="1" si="36"/>
        <v>0.16362499999999999</v>
      </c>
      <c r="AF178" s="118">
        <f t="shared" ca="1" si="28"/>
        <v>0.11283529411764698</v>
      </c>
      <c r="AG178" s="118">
        <f t="shared" ca="1" si="29"/>
        <v>141.30739999999989</v>
      </c>
      <c r="AH178" s="204">
        <f t="shared" ca="1" si="37"/>
        <v>23.121423324999981</v>
      </c>
      <c r="AI178" s="259"/>
    </row>
    <row r="179" spans="3:35" ht="15.75" x14ac:dyDescent="0.2">
      <c r="C179" s="308"/>
      <c r="K179" s="266" t="s">
        <v>230</v>
      </c>
      <c r="L179" s="266" t="s">
        <v>5</v>
      </c>
      <c r="M179" s="320">
        <f>rF1.SlabThickness</f>
        <v>0.2</v>
      </c>
      <c r="N179" s="320">
        <f>rF1.SlabThickness</f>
        <v>0.2</v>
      </c>
      <c r="O179" s="320">
        <f>rF1.SlabThickness</f>
        <v>0.25</v>
      </c>
      <c r="P179" s="320">
        <f>rF1.SlabThickness</f>
        <v>0.2</v>
      </c>
      <c r="Q179" s="309"/>
      <c r="R179" s="403"/>
      <c r="S179" s="155"/>
      <c r="T179" s="238">
        <v>0.78</v>
      </c>
      <c r="U179" s="209">
        <f t="shared" ca="1" si="26"/>
        <v>506.79720000000009</v>
      </c>
      <c r="V179" s="118">
        <f t="shared" ca="1" si="30"/>
        <v>3.6504999999999982E-2</v>
      </c>
      <c r="W179" s="204">
        <f t="shared" ca="1" si="31"/>
        <v>18.500631785999992</v>
      </c>
      <c r="Y179" s="209">
        <f t="shared" ca="1" si="27"/>
        <v>506.79720000000009</v>
      </c>
      <c r="Z179" s="118">
        <f t="shared" ca="1" si="32"/>
        <v>3.6504999999999982E-2</v>
      </c>
      <c r="AA179" s="204">
        <f t="shared" ca="1" si="33"/>
        <v>18.500631785999992</v>
      </c>
      <c r="AC179" s="209">
        <f t="shared" ca="1" si="34"/>
        <v>0.16575000000000001</v>
      </c>
      <c r="AD179" s="118">
        <f t="shared" ca="1" si="35"/>
        <v>0</v>
      </c>
      <c r="AE179" s="118">
        <f t="shared" ca="1" si="36"/>
        <v>0.16575000000000001</v>
      </c>
      <c r="AF179" s="118">
        <f t="shared" ca="1" si="28"/>
        <v>0.10143529411764701</v>
      </c>
      <c r="AG179" s="118">
        <f t="shared" ca="1" si="29"/>
        <v>127.03079999999994</v>
      </c>
      <c r="AH179" s="204">
        <f t="shared" ca="1" si="37"/>
        <v>21.055355099999993</v>
      </c>
      <c r="AI179" s="259"/>
    </row>
    <row r="180" spans="3:35" ht="15.75" x14ac:dyDescent="0.2">
      <c r="C180" s="308"/>
      <c r="K180" s="146" t="s">
        <v>292</v>
      </c>
      <c r="L180" s="146" t="s">
        <v>51</v>
      </c>
      <c r="M180" s="334">
        <f>rF1.SlabInfluenceWidth*rF1.SlabThickness^3/12</f>
        <v>2.1333333333333339E-3</v>
      </c>
      <c r="N180" s="334">
        <f>rF1.SlabInfluenceWidth*rF1.SlabThickness^3/12</f>
        <v>2.1333333333333339E-3</v>
      </c>
      <c r="O180" s="334">
        <f>rF1.SlabInfluenceWidth*rF1.SlabThickness^3/12</f>
        <v>4.1666666666666666E-3</v>
      </c>
      <c r="P180" s="334">
        <f>rF1.SlabInfluenceWidth*rF1.SlabThickness^3/12</f>
        <v>2.1333333333333339E-3</v>
      </c>
      <c r="Q180" s="319"/>
      <c r="R180" s="403"/>
      <c r="S180" s="155"/>
      <c r="T180" s="238">
        <v>0.79</v>
      </c>
      <c r="U180" s="209">
        <f t="shared" ca="1" si="26"/>
        <v>513.29460000000017</v>
      </c>
      <c r="V180" s="118">
        <f t="shared" ca="1" si="30"/>
        <v>3.5402499999999962E-2</v>
      </c>
      <c r="W180" s="204">
        <f t="shared" ca="1" si="31"/>
        <v>18.171912076499986</v>
      </c>
      <c r="Y180" s="209">
        <f t="shared" ca="1" si="27"/>
        <v>513.29460000000017</v>
      </c>
      <c r="Z180" s="118">
        <f t="shared" ca="1" si="32"/>
        <v>3.5402499999999962E-2</v>
      </c>
      <c r="AA180" s="204">
        <f t="shared" ca="1" si="33"/>
        <v>18.171912076499986</v>
      </c>
      <c r="AC180" s="209">
        <f t="shared" ca="1" si="34"/>
        <v>0.167875</v>
      </c>
      <c r="AD180" s="118">
        <f t="shared" ca="1" si="35"/>
        <v>0</v>
      </c>
      <c r="AE180" s="118">
        <f t="shared" ca="1" si="36"/>
        <v>0.167875</v>
      </c>
      <c r="AF180" s="118">
        <f t="shared" ca="1" si="28"/>
        <v>9.0035294117646991E-2</v>
      </c>
      <c r="AG180" s="118">
        <f t="shared" ca="1" si="29"/>
        <v>112.75419999999993</v>
      </c>
      <c r="AH180" s="204">
        <f t="shared" ca="1" si="37"/>
        <v>18.928611324999988</v>
      </c>
      <c r="AI180" s="259"/>
    </row>
    <row r="181" spans="3:35" x14ac:dyDescent="0.2">
      <c r="C181" s="308">
        <v>0</v>
      </c>
      <c r="K181" s="266" t="s">
        <v>231</v>
      </c>
      <c r="L181" s="266"/>
      <c r="M181" s="342" t="str">
        <f ca="1">IF(rF1.CheckWoodenSlab01=1,"-",OFFSET(rD3.Knoten,rF1.ConcreteTypeSelection,rF1.ColumnPlacementFactor,1,1))</f>
        <v>C20/25</v>
      </c>
      <c r="N181" s="342" t="str">
        <f ca="1">IF(rF1.CheckWoodenSlab02=1,"-",OFFSET(rD3.Knoten,rF1.ConcreteTypeSelection,rF1.ColumnPlacementFactor,1,1))</f>
        <v>C20/25</v>
      </c>
      <c r="O181" s="342" t="str">
        <f ca="1">IF(rF1.CheckWoodenSlab03=1,"-",OFFSET(rD3.Knoten,rF1.ConcreteTypeSelection,rF1.ColumnPlacementFactor,1,1))</f>
        <v>C12/15</v>
      </c>
      <c r="P181" s="342" t="str">
        <f ca="1">IF(rF1.CheckWoodenSlab04=1,"-",OFFSET(rD3.Knoten,rF1.ConcreteTypeSelection,rF1.ColumnPlacementFactor,1,1))</f>
        <v>C20/25</v>
      </c>
      <c r="Q181" s="309"/>
      <c r="R181" s="403"/>
      <c r="S181" s="155"/>
      <c r="T181" s="238">
        <v>0.8</v>
      </c>
      <c r="U181" s="209">
        <f t="shared" ca="1" si="26"/>
        <v>519.79200000000014</v>
      </c>
      <c r="V181" s="118">
        <f t="shared" ca="1" si="30"/>
        <v>3.4299999999999969E-2</v>
      </c>
      <c r="W181" s="204">
        <f t="shared" ca="1" si="31"/>
        <v>17.82886559999999</v>
      </c>
      <c r="Y181" s="209">
        <f t="shared" ca="1" si="27"/>
        <v>519.79200000000014</v>
      </c>
      <c r="Z181" s="118">
        <f t="shared" ca="1" si="32"/>
        <v>3.4299999999999969E-2</v>
      </c>
      <c r="AA181" s="204">
        <f t="shared" ca="1" si="33"/>
        <v>17.82886559999999</v>
      </c>
      <c r="AC181" s="209">
        <f t="shared" ca="1" si="34"/>
        <v>0.17</v>
      </c>
      <c r="AD181" s="118">
        <f t="shared" ca="1" si="35"/>
        <v>0</v>
      </c>
      <c r="AE181" s="118">
        <f t="shared" ca="1" si="36"/>
        <v>0.17</v>
      </c>
      <c r="AF181" s="118">
        <f t="shared" ca="1" si="28"/>
        <v>7.863529411764697E-2</v>
      </c>
      <c r="AG181" s="118">
        <f t="shared" ca="1" si="29"/>
        <v>98.477599999999882</v>
      </c>
      <c r="AH181" s="204">
        <f t="shared" ca="1" si="37"/>
        <v>16.74119199999998</v>
      </c>
      <c r="AI181" s="259"/>
    </row>
    <row r="182" spans="3:35" ht="15.75" x14ac:dyDescent="0.2">
      <c r="C182" s="308">
        <v>4</v>
      </c>
      <c r="K182" s="146" t="s">
        <v>293</v>
      </c>
      <c r="L182" s="146" t="s">
        <v>52</v>
      </c>
      <c r="M182" s="344">
        <f ca="1">IF(rF1.CheckWoodenSlab01=1,"-",OFFSET(rD3.Knoten,rF1.ConcreteTypeSelection,rF1.ColumnPlacementFactor,1,1))</f>
        <v>30000</v>
      </c>
      <c r="N182" s="344">
        <f ca="1">IF(rF1.CheckWoodenSlab02=1,"-",OFFSET(rD3.Knoten,rF1.ConcreteTypeSelection,rF1.ColumnPlacementFactor,1,1))</f>
        <v>30000</v>
      </c>
      <c r="O182" s="344">
        <f ca="1">IF(rF1.CheckWoodenSlab03=1,"-",OFFSET(rD3.Knoten,rF1.ConcreteTypeSelection,rF1.ColumnPlacementFactor,1,1))</f>
        <v>27000</v>
      </c>
      <c r="P182" s="344">
        <f ca="1">IF(rF1.CheckWoodenSlab04=1,"-",OFFSET(rD3.Knoten,rF1.ConcreteTypeSelection,rF1.ColumnPlacementFactor,1,1))</f>
        <v>30000</v>
      </c>
      <c r="Q182" s="319"/>
      <c r="R182" s="403"/>
      <c r="S182" s="155"/>
      <c r="T182" s="238">
        <v>0.81</v>
      </c>
      <c r="U182" s="209">
        <f t="shared" ca="1" si="26"/>
        <v>526.28940000000011</v>
      </c>
      <c r="V182" s="118">
        <f t="shared" ca="1" si="30"/>
        <v>3.3197499999999977E-2</v>
      </c>
      <c r="W182" s="204">
        <f t="shared" ca="1" si="31"/>
        <v>17.47149235649999</v>
      </c>
      <c r="Y182" s="209">
        <f t="shared" ca="1" si="27"/>
        <v>526.28940000000011</v>
      </c>
      <c r="Z182" s="118">
        <f t="shared" ca="1" si="32"/>
        <v>3.3197499999999977E-2</v>
      </c>
      <c r="AA182" s="204">
        <f t="shared" ca="1" si="33"/>
        <v>17.47149235649999</v>
      </c>
      <c r="AC182" s="209">
        <f t="shared" ca="1" si="34"/>
        <v>0.172125</v>
      </c>
      <c r="AD182" s="118">
        <f t="shared" ca="1" si="35"/>
        <v>0</v>
      </c>
      <c r="AE182" s="118">
        <f t="shared" ca="1" si="36"/>
        <v>0.172125</v>
      </c>
      <c r="AF182" s="118">
        <f t="shared" ca="1" si="28"/>
        <v>6.7235294117646976E-2</v>
      </c>
      <c r="AG182" s="118">
        <f t="shared" ca="1" si="29"/>
        <v>84.200999999999894</v>
      </c>
      <c r="AH182" s="204">
        <f t="shared" ca="1" si="37"/>
        <v>14.493097124999982</v>
      </c>
      <c r="AI182" s="259"/>
    </row>
    <row r="183" spans="3:35" ht="15.75" x14ac:dyDescent="0.2">
      <c r="C183" s="308"/>
      <c r="K183" s="266" t="s">
        <v>294</v>
      </c>
      <c r="L183" s="266" t="s">
        <v>53</v>
      </c>
      <c r="M183" s="339">
        <f ca="1">IF(rF1.CheckWoodenSlab01=1,"-",IF(ISNUMBER(rF1.SlabStiffnessType)=FALSE,rF1.SlabStiffnessType,IF(rF1.SlabType=rP1.CheckWordCantilever,0,rF1.SlabStiffnessBearing*rF1.ConcreteElasticity*1000*rF1.InertiaSlab/IF(rF1.SlabStiffnessType=1.5,MIN(rF1.SlabSpanPerpendicular*1,rF1.SlabSpanParallel*1),rF1.SlabSpanPerpendicular))))</f>
        <v>46545.454545454559</v>
      </c>
      <c r="N183" s="339">
        <f ca="1">IF(rF1.CheckWoodenSlab02=1,"-",IF(ISNUMBER(rF1.SlabStiffnessType)=FALSE,rF1.SlabStiffnessType,IF(rF1.SlabType=rP1.CheckWordCantilever,0,rF1.SlabStiffnessBearing*rF1.ConcreteElasticity*1000*rF1.InertiaSlab/IF(rF1.SlabStiffnessType=1.5,MIN(rF1.SlabSpanPerpendicular*1,rF1.SlabSpanParallel*1),rF1.SlabSpanPerpendicular))))</f>
        <v>46545.454545454559</v>
      </c>
      <c r="O183" s="339">
        <f ca="1">IF(rF1.CheckWoodenSlab03=1,"-",IF(ISNUMBER(rF1.SlabStiffnessType)=FALSE,rF1.SlabStiffnessType,IF(OR(rF1.CheckSlabExisting03=0,rF1.SlabType=rP1.CheckWordCantilever),0,rF1.SlabStiffnessBearing*rF1.ConcreteElasticity*1000*rF1.InertiaSlab/IF(rF1.SlabStiffnessType=1.5,MIN(rF1.SlabSpanPerpendicular*1,rF1.SlabSpanParallel*1),rF1.SlabSpanPerpendicular))))</f>
        <v>0</v>
      </c>
      <c r="P183" s="339">
        <f ca="1">IF(rF1.CheckWoodenSlab04=1,"-",IF(ISNUMBER(rF1.SlabStiffnessType)=FALSE,rF1.SlabStiffnessType,IF(OR(rF1.CheckSlabExisting04=0,rF1.SlabType=rP1.CheckWordCantilever),0,rF1.SlabStiffnessBearing*rF1.ConcreteElasticity*1000*rF1.InertiaSlab/IF(rF1.SlabStiffnessType=1.5,MIN(rF1.SlabSpanPerpendicular*1,rF1.SlabSpanParallel*1),rF1.SlabSpanPerpendicular))))</f>
        <v>0</v>
      </c>
      <c r="Q183" s="309"/>
      <c r="R183" s="403"/>
      <c r="S183" s="155"/>
      <c r="T183" s="238">
        <v>0.82</v>
      </c>
      <c r="U183" s="209">
        <f t="shared" ca="1" si="26"/>
        <v>532.78680000000008</v>
      </c>
      <c r="V183" s="118">
        <f t="shared" ca="1" si="30"/>
        <v>3.2094999999999985E-2</v>
      </c>
      <c r="W183" s="204">
        <f t="shared" ca="1" si="31"/>
        <v>17.099792345999994</v>
      </c>
      <c r="Y183" s="209">
        <f t="shared" ca="1" si="27"/>
        <v>532.78680000000008</v>
      </c>
      <c r="Z183" s="118">
        <f t="shared" ca="1" si="32"/>
        <v>3.2094999999999985E-2</v>
      </c>
      <c r="AA183" s="204">
        <f t="shared" ca="1" si="33"/>
        <v>17.099792345999994</v>
      </c>
      <c r="AC183" s="209">
        <f t="shared" ca="1" si="34"/>
        <v>0.17424999999999999</v>
      </c>
      <c r="AD183" s="118">
        <f t="shared" ca="1" si="35"/>
        <v>0</v>
      </c>
      <c r="AE183" s="118">
        <f t="shared" ca="1" si="36"/>
        <v>0.17424999999999999</v>
      </c>
      <c r="AF183" s="118">
        <f t="shared" ca="1" si="28"/>
        <v>5.5835294117647094E-2</v>
      </c>
      <c r="AG183" s="118">
        <f t="shared" ca="1" si="29"/>
        <v>69.924400000000034</v>
      </c>
      <c r="AH183" s="204">
        <f t="shared" ca="1" si="37"/>
        <v>12.184326700000005</v>
      </c>
      <c r="AI183" s="259"/>
    </row>
    <row r="184" spans="3:35" ht="15.75" x14ac:dyDescent="0.2">
      <c r="C184" s="308"/>
      <c r="K184" s="146" t="s">
        <v>295</v>
      </c>
      <c r="L184" s="146" t="s">
        <v>182</v>
      </c>
      <c r="M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3.6666666666666665</v>
      </c>
      <c r="N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3.6666666666666665</v>
      </c>
      <c r="O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5</v>
      </c>
      <c r="P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2</v>
      </c>
      <c r="Q184" s="319"/>
      <c r="R184" s="403"/>
      <c r="S184" s="155"/>
      <c r="T184" s="238">
        <v>0.83</v>
      </c>
      <c r="U184" s="209">
        <f t="shared" ca="1" si="26"/>
        <v>539.28420000000006</v>
      </c>
      <c r="V184" s="118">
        <f t="shared" ca="1" si="30"/>
        <v>3.0992499999999992E-2</v>
      </c>
      <c r="W184" s="204">
        <f t="shared" ca="1" si="31"/>
        <v>16.713765568499998</v>
      </c>
      <c r="Y184" s="209">
        <f t="shared" ca="1" si="27"/>
        <v>539.28420000000006</v>
      </c>
      <c r="Z184" s="118">
        <f t="shared" ca="1" si="32"/>
        <v>3.0992499999999992E-2</v>
      </c>
      <c r="AA184" s="204">
        <f t="shared" ca="1" si="33"/>
        <v>16.713765568499998</v>
      </c>
      <c r="AC184" s="209">
        <f t="shared" ca="1" si="34"/>
        <v>0.17637499999999998</v>
      </c>
      <c r="AD184" s="118">
        <f t="shared" ca="1" si="35"/>
        <v>0</v>
      </c>
      <c r="AE184" s="118">
        <f t="shared" ca="1" si="36"/>
        <v>0.17637499999999998</v>
      </c>
      <c r="AF184" s="118">
        <f t="shared" ca="1" si="28"/>
        <v>4.4435294117647073E-2</v>
      </c>
      <c r="AG184" s="118">
        <f t="shared" ca="1" si="29"/>
        <v>55.647800000000018</v>
      </c>
      <c r="AH184" s="204">
        <f t="shared" ca="1" si="37"/>
        <v>9.8148807250000019</v>
      </c>
      <c r="AI184" s="259"/>
    </row>
    <row r="185" spans="3:35" ht="15.75" x14ac:dyDescent="0.2">
      <c r="C185" s="313"/>
      <c r="K185" s="266"/>
      <c r="L185" s="266" t="s">
        <v>54</v>
      </c>
      <c r="M185" s="345">
        <f ca="1">IF(rF1.CheckWoodenSlab01=1,"-",((-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-23.84148148148148</v>
      </c>
      <c r="N185" s="345">
        <f ca="1">IF(rF1.CheckWoodenSlab02=1,"-",((-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-20.220444444444443</v>
      </c>
      <c r="O185" s="345">
        <f ca="1">IF(rF1.CheckWoodenSlab03=1,"-",IF(rF1.CheckSlabExisting03=0,0,((-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0</v>
      </c>
      <c r="P185" s="345">
        <f ca="1">IF(rF1.CheckWoodenSlab04=1,"-",IF(rF1.CheckSlabExisting04=0,0,(-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-46.176000000000002</v>
      </c>
      <c r="Q185" s="309"/>
      <c r="R185" s="403"/>
      <c r="S185" s="155"/>
      <c r="T185" s="238">
        <v>0.84</v>
      </c>
      <c r="U185" s="209">
        <f t="shared" ca="1" si="26"/>
        <v>545.78160000000014</v>
      </c>
      <c r="V185" s="118">
        <f t="shared" ca="1" si="30"/>
        <v>2.9889999999999986E-2</v>
      </c>
      <c r="W185" s="204">
        <f t="shared" ca="1" si="31"/>
        <v>16.313412023999998</v>
      </c>
      <c r="Y185" s="209">
        <f t="shared" ca="1" si="27"/>
        <v>545.78160000000014</v>
      </c>
      <c r="Z185" s="118">
        <f t="shared" ca="1" si="32"/>
        <v>2.9889999999999986E-2</v>
      </c>
      <c r="AA185" s="204">
        <f t="shared" ca="1" si="33"/>
        <v>16.313412023999998</v>
      </c>
      <c r="AC185" s="209">
        <f t="shared" ca="1" si="34"/>
        <v>0.17849999999999999</v>
      </c>
      <c r="AD185" s="118">
        <f t="shared" ca="1" si="35"/>
        <v>0</v>
      </c>
      <c r="AE185" s="118">
        <f t="shared" ca="1" si="36"/>
        <v>0.17849999999999999</v>
      </c>
      <c r="AF185" s="118">
        <f t="shared" ca="1" si="28"/>
        <v>3.3035294117647052E-2</v>
      </c>
      <c r="AG185" s="118">
        <f t="shared" ca="1" si="29"/>
        <v>41.371199999999988</v>
      </c>
      <c r="AH185" s="204">
        <f t="shared" ca="1" si="37"/>
        <v>7.3847591999999977</v>
      </c>
      <c r="AI185" s="259"/>
    </row>
    <row r="186" spans="3:35" x14ac:dyDescent="0.2">
      <c r="K186" s="140" t="s">
        <v>296</v>
      </c>
      <c r="L186" s="140"/>
      <c r="M186" s="140"/>
      <c r="N186" s="140"/>
      <c r="O186" s="140"/>
      <c r="P186" s="140"/>
      <c r="Q186" s="141"/>
      <c r="R186" s="403"/>
      <c r="S186" s="155"/>
      <c r="T186" s="238">
        <v>0.85</v>
      </c>
      <c r="U186" s="209">
        <f t="shared" ca="1" si="26"/>
        <v>552.27900000000011</v>
      </c>
      <c r="V186" s="118">
        <f t="shared" ca="1" si="30"/>
        <v>2.8787499999999966E-2</v>
      </c>
      <c r="W186" s="204">
        <f t="shared" ca="1" si="31"/>
        <v>15.898731712499984</v>
      </c>
      <c r="Y186" s="209">
        <f t="shared" ca="1" si="27"/>
        <v>552.27900000000011</v>
      </c>
      <c r="Z186" s="118">
        <f t="shared" ca="1" si="32"/>
        <v>2.8787499999999966E-2</v>
      </c>
      <c r="AA186" s="204">
        <f t="shared" ca="1" si="33"/>
        <v>15.898731712499984</v>
      </c>
      <c r="AC186" s="209">
        <f t="shared" ca="1" si="34"/>
        <v>0.18062499999999998</v>
      </c>
      <c r="AD186" s="118">
        <f t="shared" ca="1" si="35"/>
        <v>0</v>
      </c>
      <c r="AE186" s="118">
        <f t="shared" ca="1" si="36"/>
        <v>0.18062499999999998</v>
      </c>
      <c r="AF186" s="118">
        <f t="shared" ca="1" si="28"/>
        <v>2.1635294117647058E-2</v>
      </c>
      <c r="AG186" s="118">
        <f t="shared" ca="1" si="29"/>
        <v>27.0946</v>
      </c>
      <c r="AH186" s="204">
        <f t="shared" ca="1" si="37"/>
        <v>4.8939621249999998</v>
      </c>
      <c r="AI186" s="259"/>
    </row>
    <row r="187" spans="3:35" x14ac:dyDescent="0.2">
      <c r="K187" s="142" t="s">
        <v>297</v>
      </c>
      <c r="L187" s="142"/>
      <c r="M187" s="143" t="s">
        <v>255</v>
      </c>
      <c r="N187" s="143" t="s">
        <v>256</v>
      </c>
      <c r="O187" s="143" t="s">
        <v>257</v>
      </c>
      <c r="P187" s="143" t="s">
        <v>258</v>
      </c>
      <c r="Q187" s="192"/>
      <c r="R187" s="403"/>
      <c r="S187" s="155"/>
      <c r="T187" s="238">
        <v>0.86</v>
      </c>
      <c r="U187" s="209">
        <f t="shared" ca="1" si="26"/>
        <v>558.77640000000008</v>
      </c>
      <c r="V187" s="118">
        <f t="shared" ca="1" si="30"/>
        <v>2.7684999999999987E-2</v>
      </c>
      <c r="W187" s="204">
        <f t="shared" ca="1" si="31"/>
        <v>15.469724633999995</v>
      </c>
      <c r="Y187" s="209">
        <f t="shared" ca="1" si="27"/>
        <v>558.77640000000008</v>
      </c>
      <c r="Z187" s="118">
        <f t="shared" ca="1" si="32"/>
        <v>2.7684999999999987E-2</v>
      </c>
      <c r="AA187" s="204">
        <f t="shared" ca="1" si="33"/>
        <v>15.469724633999995</v>
      </c>
      <c r="AC187" s="209">
        <f t="shared" ca="1" si="34"/>
        <v>0.18275</v>
      </c>
      <c r="AD187" s="118">
        <f t="shared" ca="1" si="35"/>
        <v>0</v>
      </c>
      <c r="AE187" s="118">
        <f t="shared" ca="1" si="36"/>
        <v>0.18275</v>
      </c>
      <c r="AF187" s="118">
        <f t="shared" ca="1" si="28"/>
        <v>1.0235294117647037E-2</v>
      </c>
      <c r="AG187" s="118">
        <f t="shared" ca="1" si="29"/>
        <v>12.817999999999969</v>
      </c>
      <c r="AH187" s="204">
        <f t="shared" ca="1" si="37"/>
        <v>2.3424894999999943</v>
      </c>
      <c r="AI187" s="259"/>
    </row>
    <row r="188" spans="3:35" ht="15.75" x14ac:dyDescent="0.2">
      <c r="K188" s="218" t="s">
        <v>233</v>
      </c>
      <c r="L188" s="146" t="s">
        <v>6</v>
      </c>
      <c r="M188" s="346">
        <f>rF1.DeadLoadDesign</f>
        <v>9.25</v>
      </c>
      <c r="N188" s="346">
        <f>rF1.DeadLoadDesign</f>
        <v>9.25</v>
      </c>
      <c r="O188" s="346">
        <f>rF1.DeadLoadDesign</f>
        <v>8</v>
      </c>
      <c r="P188" s="346">
        <f>rF1.DeadLoadDesign</f>
        <v>7.43</v>
      </c>
      <c r="Q188" s="319"/>
      <c r="S188" s="155"/>
      <c r="T188" s="238">
        <v>0.87</v>
      </c>
      <c r="U188" s="209">
        <f t="shared" ca="1" si="26"/>
        <v>565.27380000000005</v>
      </c>
      <c r="V188" s="118">
        <f t="shared" ca="1" si="30"/>
        <v>2.6582499999999981E-2</v>
      </c>
      <c r="W188" s="204">
        <f t="shared" ca="1" si="31"/>
        <v>15.02639078849999</v>
      </c>
      <c r="Y188" s="209">
        <f t="shared" ca="1" si="27"/>
        <v>565.27380000000005</v>
      </c>
      <c r="Z188" s="118">
        <f t="shared" ca="1" si="32"/>
        <v>2.6582499999999981E-2</v>
      </c>
      <c r="AA188" s="204">
        <f t="shared" ca="1" si="33"/>
        <v>15.02639078849999</v>
      </c>
      <c r="AC188" s="209">
        <f t="shared" ca="1" si="34"/>
        <v>0.18487499999999998</v>
      </c>
      <c r="AD188" s="118">
        <f t="shared" ca="1" si="35"/>
        <v>0</v>
      </c>
      <c r="AE188" s="118">
        <f t="shared" ca="1" si="36"/>
        <v>0.18487499999999998</v>
      </c>
      <c r="AF188" s="118">
        <f t="shared" ca="1" si="28"/>
        <v>-1.1647058823529566E-3</v>
      </c>
      <c r="AG188" s="118">
        <f t="shared" ca="1" si="29"/>
        <v>-1.4586000000000192</v>
      </c>
      <c r="AH188" s="204">
        <f t="shared" ca="1" si="37"/>
        <v>-0.26965867500000351</v>
      </c>
      <c r="AI188" s="259"/>
    </row>
    <row r="189" spans="3:35" ht="15.75" x14ac:dyDescent="0.2">
      <c r="K189" s="347" t="s">
        <v>234</v>
      </c>
      <c r="L189" s="266" t="s">
        <v>7</v>
      </c>
      <c r="M189" s="348">
        <f>rF1.LiveLoadDesign</f>
        <v>4.05</v>
      </c>
      <c r="N189" s="348">
        <f>rF1.LiveLoadDesign</f>
        <v>2.0299999999999998</v>
      </c>
      <c r="O189" s="348">
        <f>rF1.LiveLoadDesign</f>
        <v>0</v>
      </c>
      <c r="P189" s="348">
        <f>rF1.LiveLoadDesign</f>
        <v>6</v>
      </c>
      <c r="Q189" s="309"/>
      <c r="S189" s="155"/>
      <c r="T189" s="238">
        <v>0.88</v>
      </c>
      <c r="U189" s="209">
        <f t="shared" ca="1" si="26"/>
        <v>571.77120000000014</v>
      </c>
      <c r="V189" s="118">
        <f t="shared" ca="1" si="30"/>
        <v>2.5479999999999975E-2</v>
      </c>
      <c r="W189" s="204">
        <f t="shared" ca="1" si="31"/>
        <v>14.568730175999988</v>
      </c>
      <c r="Y189" s="209">
        <f t="shared" ca="1" si="27"/>
        <v>571.77120000000014</v>
      </c>
      <c r="Z189" s="118">
        <f t="shared" ca="1" si="32"/>
        <v>2.5479999999999975E-2</v>
      </c>
      <c r="AA189" s="204">
        <f t="shared" ca="1" si="33"/>
        <v>14.568730175999988</v>
      </c>
      <c r="AC189" s="209">
        <f t="shared" ca="1" si="34"/>
        <v>0.187</v>
      </c>
      <c r="AD189" s="118">
        <f t="shared" ca="1" si="35"/>
        <v>0</v>
      </c>
      <c r="AE189" s="118">
        <f t="shared" ca="1" si="36"/>
        <v>0.187</v>
      </c>
      <c r="AF189" s="118">
        <f t="shared" ca="1" si="28"/>
        <v>-1.2564705882352978E-2</v>
      </c>
      <c r="AG189" s="118">
        <f t="shared" ca="1" si="29"/>
        <v>-15.735200000000047</v>
      </c>
      <c r="AH189" s="204">
        <f t="shared" ca="1" si="37"/>
        <v>-2.9424824000000087</v>
      </c>
      <c r="AI189" s="259"/>
    </row>
    <row r="190" spans="3:35" ht="15.75" x14ac:dyDescent="0.2">
      <c r="K190" s="218" t="s">
        <v>235</v>
      </c>
      <c r="L190" s="146" t="s">
        <v>594</v>
      </c>
      <c r="M190" s="346">
        <f>rF1.DeadLoadDesign+rF1.LiveLoadDesign</f>
        <v>13.3</v>
      </c>
      <c r="N190" s="346">
        <f>rF1.DeadLoadDesign+rF1.LiveLoadDesign</f>
        <v>11.28</v>
      </c>
      <c r="O190" s="346">
        <f>rF1.DeadLoadDesign+rF1.LiveLoadDesign</f>
        <v>8</v>
      </c>
      <c r="P190" s="346">
        <f>rF1.DeadLoadDesign+rF1.LiveLoadDesign</f>
        <v>13.43</v>
      </c>
      <c r="Q190" s="319"/>
      <c r="R190" s="403"/>
      <c r="S190" s="155"/>
      <c r="T190" s="238">
        <v>0.89</v>
      </c>
      <c r="U190" s="209">
        <f t="shared" ca="1" si="26"/>
        <v>578.26860000000011</v>
      </c>
      <c r="V190" s="118">
        <f t="shared" ca="1" si="30"/>
        <v>2.4377499999999983E-2</v>
      </c>
      <c r="W190" s="204">
        <f t="shared" ca="1" si="31"/>
        <v>14.096742796499992</v>
      </c>
      <c r="Y190" s="209">
        <f t="shared" ca="1" si="27"/>
        <v>578.26860000000011</v>
      </c>
      <c r="Z190" s="118">
        <f t="shared" ca="1" si="32"/>
        <v>2.4377499999999983E-2</v>
      </c>
      <c r="AA190" s="204">
        <f t="shared" ca="1" si="33"/>
        <v>14.096742796499992</v>
      </c>
      <c r="AC190" s="209">
        <f t="shared" ca="1" si="34"/>
        <v>0.18912499999999999</v>
      </c>
      <c r="AD190" s="118">
        <f t="shared" ca="1" si="35"/>
        <v>0</v>
      </c>
      <c r="AE190" s="118">
        <f t="shared" ca="1" si="36"/>
        <v>0.18912499999999999</v>
      </c>
      <c r="AF190" s="118">
        <f t="shared" ca="1" si="28"/>
        <v>-2.3964705882352971E-2</v>
      </c>
      <c r="AG190" s="118">
        <f t="shared" ca="1" si="29"/>
        <v>-30.011800000000036</v>
      </c>
      <c r="AH190" s="204">
        <f t="shared" ca="1" si="37"/>
        <v>-5.6759816750000063</v>
      </c>
      <c r="AI190" s="259"/>
    </row>
    <row r="191" spans="3:35" x14ac:dyDescent="0.2">
      <c r="K191" s="142" t="s">
        <v>298</v>
      </c>
      <c r="L191" s="142"/>
      <c r="M191" s="143" t="s">
        <v>255</v>
      </c>
      <c r="N191" s="143" t="s">
        <v>256</v>
      </c>
      <c r="O191" s="143" t="s">
        <v>257</v>
      </c>
      <c r="P191" s="143" t="s">
        <v>258</v>
      </c>
      <c r="Q191" s="192"/>
      <c r="R191" s="403"/>
      <c r="S191" s="155"/>
      <c r="T191" s="238">
        <v>0.9</v>
      </c>
      <c r="U191" s="209">
        <f t="shared" ca="1" si="26"/>
        <v>584.76600000000008</v>
      </c>
      <c r="V191" s="118">
        <f t="shared" ca="1" si="30"/>
        <v>2.327499999999999E-2</v>
      </c>
      <c r="W191" s="204">
        <f t="shared" ca="1" si="31"/>
        <v>13.610428649999996</v>
      </c>
      <c r="Y191" s="209">
        <f t="shared" ca="1" si="27"/>
        <v>584.76600000000008</v>
      </c>
      <c r="Z191" s="118">
        <f t="shared" ca="1" si="32"/>
        <v>2.327499999999999E-2</v>
      </c>
      <c r="AA191" s="204">
        <f t="shared" ca="1" si="33"/>
        <v>13.610428649999996</v>
      </c>
      <c r="AC191" s="209">
        <f t="shared" ca="1" si="34"/>
        <v>0.19125</v>
      </c>
      <c r="AD191" s="118">
        <f t="shared" ca="1" si="35"/>
        <v>0</v>
      </c>
      <c r="AE191" s="118">
        <f t="shared" ca="1" si="36"/>
        <v>0.19125</v>
      </c>
      <c r="AF191" s="118">
        <f t="shared" ca="1" si="28"/>
        <v>-3.5364705882352993E-2</v>
      </c>
      <c r="AG191" s="118">
        <f t="shared" ca="1" si="29"/>
        <v>-44.28840000000006</v>
      </c>
      <c r="AH191" s="204">
        <f t="shared" ca="1" si="37"/>
        <v>-8.4701565000000123</v>
      </c>
      <c r="AI191" s="259"/>
    </row>
    <row r="192" spans="3:35" x14ac:dyDescent="0.2">
      <c r="K192" s="347" t="s">
        <v>237</v>
      </c>
      <c r="L192" s="266"/>
      <c r="M192" s="348">
        <f>rF1.DesignLineDeadLoad</f>
        <v>0</v>
      </c>
      <c r="N192" s="348">
        <f>rF1.DesignLineDeadLoad</f>
        <v>0</v>
      </c>
      <c r="O192" s="348">
        <f>rF1.DesignLineDeadLoad</f>
        <v>0</v>
      </c>
      <c r="P192" s="348">
        <f>rF1.DesignLineDeadLoad</f>
        <v>1</v>
      </c>
      <c r="Q192" s="309"/>
      <c r="R192" s="403"/>
      <c r="S192" s="155"/>
      <c r="T192" s="238">
        <v>0.91</v>
      </c>
      <c r="U192" s="209">
        <f t="shared" ca="1" si="26"/>
        <v>591.26340000000016</v>
      </c>
      <c r="V192" s="118">
        <f t="shared" ca="1" si="30"/>
        <v>2.2172499999999984E-2</v>
      </c>
      <c r="W192" s="204">
        <f t="shared" ca="1" si="31"/>
        <v>13.109787736499994</v>
      </c>
      <c r="Y192" s="209">
        <f t="shared" ca="1" si="27"/>
        <v>591.26340000000016</v>
      </c>
      <c r="Z192" s="118">
        <f t="shared" ca="1" si="32"/>
        <v>2.2172499999999984E-2</v>
      </c>
      <c r="AA192" s="204">
        <f t="shared" ca="1" si="33"/>
        <v>13.109787736499994</v>
      </c>
      <c r="AC192" s="209">
        <f t="shared" ca="1" si="34"/>
        <v>0.19337499999999999</v>
      </c>
      <c r="AD192" s="118">
        <f t="shared" ca="1" si="35"/>
        <v>0</v>
      </c>
      <c r="AE192" s="118">
        <f t="shared" ca="1" si="36"/>
        <v>0.19337499999999999</v>
      </c>
      <c r="AF192" s="118">
        <f t="shared" ca="1" si="28"/>
        <v>-4.6764705882353E-2</v>
      </c>
      <c r="AG192" s="118">
        <f t="shared" ca="1" si="29"/>
        <v>-58.565000000000069</v>
      </c>
      <c r="AH192" s="204">
        <f t="shared" ca="1" si="37"/>
        <v>-11.325006875000012</v>
      </c>
      <c r="AI192" s="259"/>
    </row>
    <row r="193" spans="5:35" x14ac:dyDescent="0.2">
      <c r="K193" s="218" t="s">
        <v>238</v>
      </c>
      <c r="L193" s="146"/>
      <c r="M193" s="346">
        <f>rF1.DesignLineLiveLoad</f>
        <v>0</v>
      </c>
      <c r="N193" s="346">
        <f>rF1.DesignLineLiveLoad</f>
        <v>0</v>
      </c>
      <c r="O193" s="346">
        <f>rF1.DesignLineLiveLoad</f>
        <v>0</v>
      </c>
      <c r="P193" s="346">
        <f>rF1.DesignLineLiveLoad</f>
        <v>0</v>
      </c>
      <c r="Q193" s="319"/>
      <c r="S193" s="155"/>
      <c r="T193" s="238">
        <v>0.92</v>
      </c>
      <c r="U193" s="209">
        <f t="shared" ca="1" si="26"/>
        <v>597.76080000000013</v>
      </c>
      <c r="V193" s="118">
        <f t="shared" ca="1" si="30"/>
        <v>2.1069999999999964E-2</v>
      </c>
      <c r="W193" s="204">
        <f t="shared" ca="1" si="31"/>
        <v>12.594820055999982</v>
      </c>
      <c r="Y193" s="209">
        <f t="shared" ca="1" si="27"/>
        <v>597.76080000000013</v>
      </c>
      <c r="Z193" s="118">
        <f t="shared" ca="1" si="32"/>
        <v>2.1069999999999964E-2</v>
      </c>
      <c r="AA193" s="204">
        <f t="shared" ca="1" si="33"/>
        <v>12.594820055999982</v>
      </c>
      <c r="AC193" s="209">
        <f t="shared" ca="1" si="34"/>
        <v>0.19550000000000001</v>
      </c>
      <c r="AD193" s="118">
        <f t="shared" ca="1" si="35"/>
        <v>0</v>
      </c>
      <c r="AE193" s="118">
        <f t="shared" ca="1" si="36"/>
        <v>0.19550000000000001</v>
      </c>
      <c r="AF193" s="118">
        <f t="shared" ca="1" si="28"/>
        <v>-5.8164705882353007E-2</v>
      </c>
      <c r="AG193" s="118">
        <f t="shared" ca="1" si="29"/>
        <v>-72.841600000000071</v>
      </c>
      <c r="AH193" s="204">
        <f t="shared" ca="1" si="37"/>
        <v>-14.240532800000015</v>
      </c>
      <c r="AI193" s="259"/>
    </row>
    <row r="194" spans="5:35" x14ac:dyDescent="0.2">
      <c r="K194" s="347" t="s">
        <v>239</v>
      </c>
      <c r="L194" s="266"/>
      <c r="M194" s="348">
        <f>rF1.DesignLineDeadLoad+rF1.DesignLineLiveLoad</f>
        <v>0</v>
      </c>
      <c r="N194" s="348">
        <f>rF1.DesignLineDeadLoad+rF1.DesignLineLiveLoad</f>
        <v>0</v>
      </c>
      <c r="O194" s="348">
        <f>rF1.DesignLineDeadLoad+rF1.DesignLineLiveLoad</f>
        <v>0</v>
      </c>
      <c r="P194" s="348">
        <f>rF1.DesignLineDeadLoad+rF1.DesignLineLiveLoad</f>
        <v>1</v>
      </c>
      <c r="Q194" s="309"/>
      <c r="R194" s="403"/>
      <c r="S194" s="155"/>
      <c r="T194" s="238">
        <v>0.93</v>
      </c>
      <c r="U194" s="209">
        <f t="shared" ca="1" si="26"/>
        <v>604.2582000000001</v>
      </c>
      <c r="V194" s="118">
        <f t="shared" ca="1" si="30"/>
        <v>1.9967499999999985E-2</v>
      </c>
      <c r="W194" s="204">
        <f t="shared" ca="1" si="31"/>
        <v>12.065525608499993</v>
      </c>
      <c r="Y194" s="209">
        <f t="shared" ca="1" si="27"/>
        <v>604.2582000000001</v>
      </c>
      <c r="Z194" s="118">
        <f t="shared" ca="1" si="32"/>
        <v>1.9967499999999985E-2</v>
      </c>
      <c r="AA194" s="204">
        <f t="shared" ca="1" si="33"/>
        <v>12.065525608499993</v>
      </c>
      <c r="AC194" s="209">
        <f t="shared" ca="1" si="34"/>
        <v>0.197625</v>
      </c>
      <c r="AD194" s="118">
        <f t="shared" ca="1" si="35"/>
        <v>0</v>
      </c>
      <c r="AE194" s="118">
        <f t="shared" ca="1" si="36"/>
        <v>0.197625</v>
      </c>
      <c r="AF194" s="118">
        <f t="shared" ca="1" si="28"/>
        <v>-6.9564705882353015E-2</v>
      </c>
      <c r="AG194" s="118">
        <f t="shared" ca="1" si="29"/>
        <v>-87.118200000000087</v>
      </c>
      <c r="AH194" s="204">
        <f t="shared" ca="1" si="37"/>
        <v>-17.216734275000018</v>
      </c>
      <c r="AI194" s="259"/>
    </row>
    <row r="195" spans="5:35" x14ac:dyDescent="0.2">
      <c r="K195" s="218" t="s">
        <v>240</v>
      </c>
      <c r="L195" s="146"/>
      <c r="M195" s="318">
        <f>rF1.PositioningLineLoad</f>
        <v>0</v>
      </c>
      <c r="N195" s="318">
        <f>rF1.PositioningLineLoad</f>
        <v>0</v>
      </c>
      <c r="O195" s="318">
        <f>rF1.PositioningLineLoad</f>
        <v>0</v>
      </c>
      <c r="P195" s="318">
        <f>rF1.PositioningLineLoad</f>
        <v>2</v>
      </c>
      <c r="Q195" s="319"/>
      <c r="R195" s="403"/>
      <c r="S195" s="155"/>
      <c r="T195" s="238">
        <v>0.94</v>
      </c>
      <c r="U195" s="209">
        <f t="shared" ca="1" si="26"/>
        <v>610.75560000000007</v>
      </c>
      <c r="V195" s="118">
        <f t="shared" ca="1" si="30"/>
        <v>1.8864999999999979E-2</v>
      </c>
      <c r="W195" s="204">
        <f t="shared" ca="1" si="31"/>
        <v>11.521904393999989</v>
      </c>
      <c r="Y195" s="209">
        <f t="shared" ca="1" si="27"/>
        <v>610.75560000000007</v>
      </c>
      <c r="Z195" s="118">
        <f t="shared" ca="1" si="32"/>
        <v>1.8864999999999979E-2</v>
      </c>
      <c r="AA195" s="204">
        <f t="shared" ca="1" si="33"/>
        <v>11.521904393999989</v>
      </c>
      <c r="AC195" s="209">
        <f t="shared" ca="1" si="34"/>
        <v>0.19974999999999998</v>
      </c>
      <c r="AD195" s="118">
        <f t="shared" ca="1" si="35"/>
        <v>0</v>
      </c>
      <c r="AE195" s="118">
        <f t="shared" ca="1" si="36"/>
        <v>0.19974999999999998</v>
      </c>
      <c r="AF195" s="118">
        <f t="shared" ca="1" si="28"/>
        <v>-8.0964705882352897E-2</v>
      </c>
      <c r="AG195" s="118">
        <f t="shared" ca="1" si="29"/>
        <v>-101.39479999999995</v>
      </c>
      <c r="AH195" s="204">
        <f t="shared" ca="1" si="37"/>
        <v>-20.253611299999989</v>
      </c>
      <c r="AI195" s="259"/>
    </row>
    <row r="196" spans="5:35" x14ac:dyDescent="0.2">
      <c r="K196" s="142" t="s">
        <v>299</v>
      </c>
      <c r="L196" s="142"/>
      <c r="M196" s="143" t="s">
        <v>259</v>
      </c>
      <c r="N196" s="143" t="s">
        <v>260</v>
      </c>
      <c r="O196" s="143" t="s">
        <v>261</v>
      </c>
      <c r="P196" s="143"/>
      <c r="Q196" s="192"/>
      <c r="R196" s="403"/>
      <c r="S196" s="155"/>
      <c r="T196" s="238">
        <v>0.95</v>
      </c>
      <c r="U196" s="209">
        <f t="shared" ref="U196:U202" ca="1" si="38">IF(rF1.CheckWoodenSlabCalc,0,rF1.PlotAxForceFactor*rF1.PlotAxResistanceMaxTop)</f>
        <v>617.25300000000004</v>
      </c>
      <c r="V196" s="118">
        <f t="shared" ca="1" si="30"/>
        <v>1.7762500000000001E-2</v>
      </c>
      <c r="W196" s="204">
        <f t="shared" ca="1" si="31"/>
        <v>10.963956412500002</v>
      </c>
      <c r="Y196" s="209">
        <f t="shared" ref="Y196:Y202" ca="1" si="39">IF(rF1.CheckWoodenSlabCalc,0,rF1.PlotAxForceFactor*rF1.PlotAxResistanceMaxBottom)</f>
        <v>617.25300000000004</v>
      </c>
      <c r="Z196" s="118">
        <f t="shared" ca="1" si="32"/>
        <v>1.7762500000000001E-2</v>
      </c>
      <c r="AA196" s="204">
        <f t="shared" ca="1" si="33"/>
        <v>10.963956412500002</v>
      </c>
      <c r="AC196" s="209">
        <f t="shared" ca="1" si="34"/>
        <v>0.201875</v>
      </c>
      <c r="AD196" s="118">
        <f t="shared" ca="1" si="35"/>
        <v>0</v>
      </c>
      <c r="AE196" s="118">
        <f t="shared" ca="1" si="36"/>
        <v>0.201875</v>
      </c>
      <c r="AF196" s="118">
        <f t="shared" ref="AF196:AF202" ca="1" si="40">MIN(1.14*(1-2*rF1.PlotExcentricityTotalMiddle/rF1.WallThickness02)-0.024*rF1.WallHeightEffective/rF1.WallThickness02,1-2*rF1.PlotExcentricityTotalMiddle/rF1.WallThickness02)</f>
        <v>-9.2364705882353043E-2</v>
      </c>
      <c r="AG196" s="118">
        <f t="shared" ref="AG196:AG201" ca="1" si="41">IF(rF1.CheckWoodenSlabCalc,0,rF1.PlotReductionParameterMiddle*rF1.WallThickness02*rF1.ReductionMasonryStrenghtArea02*rF1.ReductionMasonryStrengthLongTerm*rF1.MasonryStrenghtChar02/rF1.SafetyFactorMaterial02*1000)</f>
        <v>-115.67140000000013</v>
      </c>
      <c r="AH196" s="204">
        <f t="shared" ca="1" si="37"/>
        <v>-23.351163875000026</v>
      </c>
      <c r="AI196" s="259"/>
    </row>
    <row r="197" spans="5:35" ht="15.75" x14ac:dyDescent="0.2">
      <c r="K197" s="146" t="s">
        <v>242</v>
      </c>
      <c r="L197" s="146" t="s">
        <v>62</v>
      </c>
      <c r="M197" s="248">
        <f>rF1.WallAxForceDeadTop</f>
        <v>675.28</v>
      </c>
      <c r="N197" s="248">
        <f>rF1.WallAxForceLiveTop</f>
        <v>290.2</v>
      </c>
      <c r="O197" s="257">
        <f>rF1.WallAxForceTop</f>
        <v>482.74</v>
      </c>
      <c r="P197" s="131"/>
      <c r="Q197" s="131"/>
      <c r="R197" s="403"/>
      <c r="S197" s="155"/>
      <c r="T197" s="238">
        <v>0.96</v>
      </c>
      <c r="U197" s="209">
        <f t="shared" ca="1" si="38"/>
        <v>623.75040000000013</v>
      </c>
      <c r="V197" s="118">
        <f t="shared" ca="1" si="30"/>
        <v>1.665999999999998E-2</v>
      </c>
      <c r="W197" s="204">
        <f t="shared" ref="W197:W202" ca="1" si="42">rF1.PlotAxForceTop*rF1.PlotExcentricityTop</f>
        <v>10.391681663999989</v>
      </c>
      <c r="Y197" s="209">
        <f t="shared" ca="1" si="39"/>
        <v>623.75040000000013</v>
      </c>
      <c r="Z197" s="118">
        <f t="shared" ca="1" si="32"/>
        <v>1.665999999999998E-2</v>
      </c>
      <c r="AA197" s="204">
        <f t="shared" ref="AA197:AA202" ca="1" si="43">rF1.PlotAxForceBottom*rF1.PlotExcentricityBottom</f>
        <v>10.391681663999989</v>
      </c>
      <c r="AC197" s="209">
        <f t="shared" ca="1" si="34"/>
        <v>0.20399999999999999</v>
      </c>
      <c r="AD197" s="118">
        <f t="shared" ref="AD197:AD202" ca="1" si="44">IF(rF1.WallSlenderness02&lt;=rP1.MaxSlendernessCreepEcc,0,0.002*rP1.CreepCoefficient*rF1.WallHeightBuckling/rF1.WallHeight02*SQRT(rF1.WallHeight02*rF1.PlotExcentricityLoadMiddle))</f>
        <v>0</v>
      </c>
      <c r="AE197" s="118">
        <f t="shared" ref="AE197:AE202" ca="1" si="45">MAX(rF1.PlotExcentricityCreepMiddle+rF1.PlotExcentricityLoadMiddle,0.05*rF1.WallThickness02)</f>
        <v>0.20399999999999999</v>
      </c>
      <c r="AF197" s="118">
        <f t="shared" ca="1" si="40"/>
        <v>-0.10376470588235293</v>
      </c>
      <c r="AG197" s="118">
        <f t="shared" ca="1" si="41"/>
        <v>-129.94799999999998</v>
      </c>
      <c r="AH197" s="204">
        <f t="shared" ref="AH197:AH202" ca="1" si="46">rF1.PlotExcentricityTotalMiddle*rF1.PlotAxForceMiddle</f>
        <v>-26.509391999999995</v>
      </c>
      <c r="AI197" s="259"/>
    </row>
    <row r="198" spans="5:35" ht="15.75" x14ac:dyDescent="0.2">
      <c r="K198" s="266" t="s">
        <v>243</v>
      </c>
      <c r="L198" s="266" t="s">
        <v>33</v>
      </c>
      <c r="M198" s="349">
        <f ca="1">rF1.WallAxForceDeadMiddle</f>
        <v>980.63006736875002</v>
      </c>
      <c r="N198" s="349">
        <f>rF1.WallAxForceLiveMiddle</f>
        <v>290.2</v>
      </c>
      <c r="O198" s="350">
        <f ca="1">rF1.WallAxForceMiddle</f>
        <v>490.31503368437501</v>
      </c>
      <c r="P198" s="351"/>
      <c r="Q198" s="351"/>
      <c r="S198" s="155"/>
      <c r="T198" s="238">
        <v>0.97</v>
      </c>
      <c r="U198" s="209">
        <f t="shared" ca="1" si="38"/>
        <v>630.2478000000001</v>
      </c>
      <c r="V198" s="118">
        <f t="shared" ca="1" si="30"/>
        <v>1.5557499999999988E-2</v>
      </c>
      <c r="W198" s="204">
        <f t="shared" ca="1" si="42"/>
        <v>9.8050801484999948</v>
      </c>
      <c r="Y198" s="209">
        <f t="shared" ca="1" si="39"/>
        <v>630.2478000000001</v>
      </c>
      <c r="Z198" s="118">
        <f t="shared" ca="1" si="32"/>
        <v>1.5557499999999988E-2</v>
      </c>
      <c r="AA198" s="204">
        <f t="shared" ca="1" si="43"/>
        <v>9.8050801484999948</v>
      </c>
      <c r="AC198" s="209">
        <f t="shared" ca="1" si="34"/>
        <v>0.206125</v>
      </c>
      <c r="AD198" s="118">
        <f t="shared" ca="1" si="44"/>
        <v>0</v>
      </c>
      <c r="AE198" s="118">
        <f t="shared" ca="1" si="45"/>
        <v>0.206125</v>
      </c>
      <c r="AF198" s="118">
        <f t="shared" ca="1" si="40"/>
        <v>-0.11516470588235306</v>
      </c>
      <c r="AG198" s="118">
        <f t="shared" ca="1" si="41"/>
        <v>-144.22460000000015</v>
      </c>
      <c r="AH198" s="204">
        <f t="shared" ca="1" si="46"/>
        <v>-29.72829567500003</v>
      </c>
      <c r="AI198" s="259"/>
    </row>
    <row r="199" spans="5:35" ht="15.75" x14ac:dyDescent="0.2">
      <c r="K199" s="146" t="s">
        <v>244</v>
      </c>
      <c r="L199" s="146" t="s">
        <v>34</v>
      </c>
      <c r="M199" s="248">
        <f ca="1">rF1.WallAxForceDeadBottom</f>
        <v>995.78013473750002</v>
      </c>
      <c r="N199" s="248">
        <f>rF1.WallAxForceLiveBottom</f>
        <v>290.2</v>
      </c>
      <c r="O199" s="257">
        <f ca="1">rF1.WallAxForceBottom</f>
        <v>497.89006736875001</v>
      </c>
      <c r="P199" s="131"/>
      <c r="Q199" s="131"/>
      <c r="S199" s="155"/>
      <c r="T199" s="238">
        <v>0.98</v>
      </c>
      <c r="U199" s="209">
        <f t="shared" ca="1" si="38"/>
        <v>636.74520000000007</v>
      </c>
      <c r="V199" s="118">
        <f t="shared" ca="1" si="30"/>
        <v>1.4454999999999982E-2</v>
      </c>
      <c r="W199" s="204">
        <f t="shared" ca="1" si="42"/>
        <v>9.2041518659999895</v>
      </c>
      <c r="Y199" s="209">
        <f t="shared" ca="1" si="39"/>
        <v>636.74520000000007</v>
      </c>
      <c r="Z199" s="118">
        <f t="shared" ca="1" si="32"/>
        <v>1.4454999999999982E-2</v>
      </c>
      <c r="AA199" s="204">
        <f t="shared" ca="1" si="43"/>
        <v>9.2041518659999895</v>
      </c>
      <c r="AC199" s="209">
        <f t="shared" ca="1" si="34"/>
        <v>0.20824999999999999</v>
      </c>
      <c r="AD199" s="118">
        <f t="shared" ca="1" si="44"/>
        <v>0</v>
      </c>
      <c r="AE199" s="118">
        <f t="shared" ca="1" si="45"/>
        <v>0.20824999999999999</v>
      </c>
      <c r="AF199" s="118">
        <f t="shared" ca="1" si="40"/>
        <v>-0.12656470588235294</v>
      </c>
      <c r="AG199" s="118">
        <f t="shared" ca="1" si="41"/>
        <v>-158.50119999999998</v>
      </c>
      <c r="AH199" s="204">
        <f t="shared" ca="1" si="46"/>
        <v>-33.007874899999997</v>
      </c>
      <c r="AI199" s="259"/>
    </row>
    <row r="200" spans="5:35" x14ac:dyDescent="0.2">
      <c r="K200" s="142" t="s">
        <v>300</v>
      </c>
      <c r="L200" s="142"/>
      <c r="M200" s="143"/>
      <c r="N200" s="143"/>
      <c r="O200" s="143"/>
      <c r="P200" s="143"/>
      <c r="Q200" s="192"/>
      <c r="S200" s="155"/>
      <c r="T200" s="238">
        <v>0.99</v>
      </c>
      <c r="U200" s="209">
        <f t="shared" ca="1" si="38"/>
        <v>643.24260000000015</v>
      </c>
      <c r="V200" s="118">
        <f t="shared" ca="1" si="30"/>
        <v>1.3352499999999962E-2</v>
      </c>
      <c r="W200" s="204">
        <f t="shared" ca="1" si="42"/>
        <v>8.588896816499977</v>
      </c>
      <c r="Y200" s="209">
        <f t="shared" ca="1" si="39"/>
        <v>643.24260000000015</v>
      </c>
      <c r="Z200" s="118">
        <f t="shared" ca="1" si="32"/>
        <v>1.3352499999999962E-2</v>
      </c>
      <c r="AA200" s="204">
        <f t="shared" ca="1" si="43"/>
        <v>8.588896816499977</v>
      </c>
      <c r="AC200" s="209">
        <f t="shared" ca="1" si="34"/>
        <v>0.21037500000000001</v>
      </c>
      <c r="AD200" s="118">
        <f t="shared" ca="1" si="44"/>
        <v>0</v>
      </c>
      <c r="AE200" s="118">
        <f t="shared" ca="1" si="45"/>
        <v>0.21037500000000001</v>
      </c>
      <c r="AF200" s="118">
        <f t="shared" ca="1" si="40"/>
        <v>-0.13796470588235307</v>
      </c>
      <c r="AG200" s="118">
        <f t="shared" ca="1" si="41"/>
        <v>-172.77780000000018</v>
      </c>
      <c r="AH200" s="204">
        <f t="shared" ca="1" si="46"/>
        <v>-36.348129675000038</v>
      </c>
      <c r="AI200" s="259"/>
    </row>
    <row r="201" spans="5:35" ht="15.75" x14ac:dyDescent="0.2">
      <c r="K201" s="146" t="s">
        <v>245</v>
      </c>
      <c r="L201" s="146" t="s">
        <v>35</v>
      </c>
      <c r="M201" s="228">
        <f>rF1.WindLoadDesign</f>
        <v>0.96</v>
      </c>
      <c r="N201" s="146"/>
      <c r="O201" s="131"/>
      <c r="P201" s="131"/>
      <c r="Q201" s="131"/>
      <c r="S201" s="155"/>
      <c r="T201" s="238">
        <v>1</v>
      </c>
      <c r="U201" s="209">
        <f t="shared" ca="1" si="38"/>
        <v>649.74000000000012</v>
      </c>
      <c r="V201" s="118">
        <f t="shared" ca="1" si="30"/>
        <v>1.2249999999999983E-2</v>
      </c>
      <c r="W201" s="204">
        <f t="shared" ca="1" si="42"/>
        <v>7.9593149999999904</v>
      </c>
      <c r="Y201" s="209">
        <f t="shared" ca="1" si="39"/>
        <v>649.74000000000012</v>
      </c>
      <c r="Z201" s="118">
        <f t="shared" ca="1" si="32"/>
        <v>1.2249999999999983E-2</v>
      </c>
      <c r="AA201" s="204">
        <f t="shared" ca="1" si="43"/>
        <v>7.9593149999999904</v>
      </c>
      <c r="AC201" s="209">
        <f t="shared" ca="1" si="34"/>
        <v>0.21249999999999999</v>
      </c>
      <c r="AD201" s="118">
        <f t="shared" ca="1" si="44"/>
        <v>0</v>
      </c>
      <c r="AE201" s="118">
        <f t="shared" ca="1" si="45"/>
        <v>0.21249999999999999</v>
      </c>
      <c r="AF201" s="118">
        <f t="shared" ca="1" si="40"/>
        <v>-0.14936470588235295</v>
      </c>
      <c r="AG201" s="118">
        <f t="shared" ca="1" si="41"/>
        <v>-187.05440000000004</v>
      </c>
      <c r="AH201" s="204">
        <f t="shared" ca="1" si="46"/>
        <v>-39.749060000000007</v>
      </c>
      <c r="AI201" s="259"/>
    </row>
    <row r="202" spans="5:35" x14ac:dyDescent="0.2">
      <c r="K202" s="140" t="s">
        <v>301</v>
      </c>
      <c r="L202" s="140"/>
      <c r="M202" s="140"/>
      <c r="N202" s="140"/>
      <c r="O202" s="140"/>
      <c r="P202" s="140"/>
      <c r="Q202" s="141"/>
      <c r="S202" s="155"/>
      <c r="T202" s="211">
        <v>1</v>
      </c>
      <c r="U202" s="191">
        <f t="shared" ca="1" si="38"/>
        <v>649.74000000000012</v>
      </c>
      <c r="V202" s="168">
        <v>0</v>
      </c>
      <c r="W202" s="190">
        <f t="shared" ca="1" si="42"/>
        <v>0</v>
      </c>
      <c r="Y202" s="191">
        <f t="shared" ca="1" si="39"/>
        <v>649.74000000000012</v>
      </c>
      <c r="Z202" s="168">
        <v>0</v>
      </c>
      <c r="AA202" s="190">
        <f t="shared" ca="1" si="43"/>
        <v>0</v>
      </c>
      <c r="AC202" s="191">
        <v>0</v>
      </c>
      <c r="AD202" s="168">
        <f t="shared" ca="1" si="44"/>
        <v>0</v>
      </c>
      <c r="AE202" s="168">
        <f t="shared" ca="1" si="45"/>
        <v>2.1250000000000002E-2</v>
      </c>
      <c r="AF202" s="168">
        <f t="shared" ca="1" si="40"/>
        <v>0.87663529411764707</v>
      </c>
      <c r="AG202" s="168">
        <v>0</v>
      </c>
      <c r="AH202" s="190">
        <f t="shared" ca="1" si="46"/>
        <v>0</v>
      </c>
      <c r="AI202" s="259"/>
    </row>
    <row r="203" spans="5:35" ht="15" thickBot="1" x14ac:dyDescent="0.25">
      <c r="K203" s="142" t="s">
        <v>302</v>
      </c>
      <c r="L203" s="142"/>
      <c r="M203" s="143"/>
      <c r="N203" s="143"/>
      <c r="O203" s="143"/>
      <c r="P203" s="143"/>
      <c r="Q203" s="192"/>
      <c r="S203" s="219"/>
      <c r="T203" s="222"/>
      <c r="U203" s="222"/>
      <c r="V203" s="222"/>
      <c r="W203" s="222"/>
      <c r="X203" s="222"/>
      <c r="Y203" s="222"/>
      <c r="Z203" s="222"/>
      <c r="AA203" s="222"/>
      <c r="AB203" s="222"/>
      <c r="AC203" s="222"/>
      <c r="AD203" s="222"/>
      <c r="AE203" s="222"/>
      <c r="AF203" s="222"/>
      <c r="AG203" s="222"/>
      <c r="AH203" s="222"/>
      <c r="AI203" s="275"/>
    </row>
    <row r="204" spans="5:35" x14ac:dyDescent="0.2">
      <c r="K204" s="146" t="s">
        <v>303</v>
      </c>
      <c r="L204" s="146"/>
      <c r="M204" s="146"/>
      <c r="N204" s="146"/>
      <c r="O204" s="146"/>
      <c r="P204" s="146"/>
      <c r="Q204" s="146"/>
    </row>
    <row r="205" spans="5:35" ht="15.75" x14ac:dyDescent="0.2">
      <c r="E205" s="352"/>
      <c r="F205" s="352"/>
      <c r="K205" s="347" t="s">
        <v>304</v>
      </c>
      <c r="L205" s="266" t="s">
        <v>61</v>
      </c>
      <c r="M205" s="327">
        <f ca="1">IF(rF1.CheckWoodenSlab02,1,IF((rF1.WallStiffnessTop02+rF1.CalculatedStiffnessBottom03)=0,0.5,1-MIN((rF1.SlabStiffness02+rF1.SlabStiffness04)/(rF1.WallStiffnessTop02+rF1.CalculatedStiffnessBottom03),2)/4))</f>
        <v>0.71172426569061265</v>
      </c>
      <c r="N205" s="343"/>
      <c r="O205" s="343"/>
      <c r="P205" s="343"/>
      <c r="Q205" s="347"/>
    </row>
    <row r="206" spans="5:35" ht="15.75" x14ac:dyDescent="0.2">
      <c r="E206" s="179"/>
      <c r="F206" s="179"/>
      <c r="K206" s="218" t="s">
        <v>305</v>
      </c>
      <c r="L206" s="146" t="s">
        <v>60</v>
      </c>
      <c r="M206" s="353">
        <f ca="1">IF(rF1.CheckWoodenSlab02,0,rF1.WallStiffnessTop02/(rF1.WallStiffnessTop02+rF1.CalculatedStiffnessBottom03+rF1.SlabStiffness02+rF1.SlabStiffness04)*(rF1.LoadStiffness02-rF1.LoadStiffness04)*rF1.MomentReductionTop)</f>
        <v>4.5065631134034625</v>
      </c>
      <c r="N206" s="146"/>
      <c r="O206" s="218"/>
      <c r="P206" s="146"/>
      <c r="Q206" s="218"/>
    </row>
    <row r="207" spans="5:35" x14ac:dyDescent="0.2">
      <c r="E207" s="179"/>
      <c r="F207" s="179"/>
      <c r="K207" s="142" t="s">
        <v>307</v>
      </c>
      <c r="L207" s="142"/>
      <c r="M207" s="143"/>
      <c r="N207" s="143"/>
      <c r="O207" s="143"/>
      <c r="P207" s="143"/>
      <c r="Q207" s="192"/>
    </row>
    <row r="208" spans="5:35" x14ac:dyDescent="0.2">
      <c r="E208" s="179"/>
      <c r="F208" s="179"/>
      <c r="K208" s="146" t="s">
        <v>303</v>
      </c>
      <c r="L208" s="146"/>
      <c r="M208" s="326"/>
      <c r="N208" s="146"/>
      <c r="O208" s="146"/>
      <c r="P208" s="146"/>
      <c r="Q208" s="146"/>
      <c r="R208" s="402"/>
    </row>
    <row r="209" spans="3:18" ht="15.75" x14ac:dyDescent="0.2">
      <c r="E209" s="179"/>
      <c r="F209" s="179"/>
      <c r="K209" s="347" t="s">
        <v>304</v>
      </c>
      <c r="L209" s="266" t="s">
        <v>59</v>
      </c>
      <c r="M209" s="327">
        <f ca="1">IF(rF1.CheckWoodenSlab01,1,IF(OR(rF1.WallStiffnessBottom02+rF1.CalculatedStiffnessTop01=0,rF1.CheckFoundation,rF1.CheckBasePlate),0.5,1-MIN((rF1.SlabStiffness01+rF1.SlabStiffness03)/(rF1.WallStiffnessBottom02+rF1.CalculatedStiffnessTop01),2)/4))</f>
        <v>0.94739485940243684</v>
      </c>
      <c r="N209" s="266"/>
      <c r="O209" s="347"/>
      <c r="P209" s="266"/>
      <c r="Q209" s="347"/>
      <c r="R209" s="405"/>
    </row>
    <row r="210" spans="3:18" ht="15.75" x14ac:dyDescent="0.2">
      <c r="E210" s="179"/>
      <c r="F210" s="179"/>
      <c r="K210" s="218" t="s">
        <v>308</v>
      </c>
      <c r="L210" s="146" t="s">
        <v>58</v>
      </c>
      <c r="M210" s="353">
        <f ca="1">IF(AND(OR(rF1.CheckFoundation,rF1.CheckBasePlate),INDEX(rF1.WallBearingTop,1,2)=4),rF1.BendingMomentDecTop,IF(OR(rF1.CheckFoundation,rF1.CheckBasePlate,rF1.CheckWoodenSlab01),0,rF1.WallStiffnessBottom02/(rF1.CalculatedStiffnessTop01+rF1.WallStiffnessBottom02+rF1.SlabStiffness01+rF1.SlabStiffness03)*(rF1.LoadStiffness03-rF1.LoadStiffness01)*rF1.MomentReductionBottom))</f>
        <v>1.7886123173445154</v>
      </c>
      <c r="N210" s="146"/>
      <c r="O210" s="218"/>
      <c r="P210" s="146"/>
      <c r="Q210" s="218"/>
      <c r="R210" s="405"/>
    </row>
    <row r="211" spans="3:18" x14ac:dyDescent="0.2">
      <c r="K211" s="142" t="s">
        <v>309</v>
      </c>
      <c r="L211" s="142"/>
      <c r="M211" s="143"/>
      <c r="N211" s="143"/>
      <c r="O211" s="143"/>
      <c r="P211" s="143"/>
      <c r="Q211" s="192"/>
    </row>
    <row r="212" spans="3:18" ht="15.75" x14ac:dyDescent="0.2">
      <c r="K212" s="146" t="s">
        <v>310</v>
      </c>
      <c r="L212" s="146" t="s">
        <v>56</v>
      </c>
      <c r="M212" s="353">
        <f ca="1">(rF1.BendingMomentDecTop+rF1.BendingMomentDecBottom)/2</f>
        <v>3.1475877153739891</v>
      </c>
      <c r="N212" s="146"/>
      <c r="O212" s="146"/>
      <c r="P212" s="146"/>
      <c r="Q212" s="146"/>
      <c r="R212" s="402"/>
    </row>
    <row r="213" spans="3:18" x14ac:dyDescent="0.2">
      <c r="K213" s="142" t="s">
        <v>311</v>
      </c>
      <c r="L213" s="142"/>
      <c r="M213" s="143"/>
      <c r="N213" s="143"/>
      <c r="O213" s="143"/>
      <c r="P213" s="143"/>
      <c r="Q213" s="192"/>
      <c r="R213" s="405"/>
    </row>
    <row r="214" spans="3:18" ht="15.75" x14ac:dyDescent="0.2">
      <c r="C214" s="194">
        <v>1</v>
      </c>
      <c r="F214" s="194">
        <f ca="1">OFFSET(rL3.Knoten,rF1.AufteilungMomenteWindSelection,rF1.ColumnPlacementFactor,1,1)</f>
        <v>-6.25E-2</v>
      </c>
      <c r="K214" s="146" t="s">
        <v>312</v>
      </c>
      <c r="L214" s="146" t="s">
        <v>181</v>
      </c>
      <c r="M214" s="353">
        <f ca="1">ABS(rF1.WindLoadDesign)*rF1.WallHeight02^2*rF1.WindMomentFactor*rF1.SlabInfluenceWidth/rF1.WallLenght02</f>
        <v>-0.67161840000000006</v>
      </c>
      <c r="N214" s="353"/>
      <c r="O214" s="353"/>
      <c r="P214" s="146"/>
      <c r="Q214" s="146"/>
      <c r="R214" s="405"/>
    </row>
    <row r="215" spans="3:18" ht="15.75" x14ac:dyDescent="0.2">
      <c r="C215" s="308">
        <v>2</v>
      </c>
      <c r="F215" s="308">
        <f ca="1">OFFSET(rL3.Knoten,rF1.AufteilungMomenteWindSelection,rF1.ColumnPlacementFactor,1,1)</f>
        <v>6.25E-2</v>
      </c>
      <c r="K215" s="266" t="s">
        <v>313</v>
      </c>
      <c r="L215" s="266" t="s">
        <v>55</v>
      </c>
      <c r="M215" s="345">
        <f ca="1">ABS(rF1.WindLoadDesign)*rF1.WallHeight02^2*rF1.WindMomentFactor*rF1.SlabInfluenceWidth/rF1.WallLenght02</f>
        <v>0.67161840000000006</v>
      </c>
      <c r="N215" s="345"/>
      <c r="O215" s="345"/>
      <c r="P215" s="266"/>
      <c r="Q215" s="347"/>
    </row>
    <row r="216" spans="3:18" ht="15.75" x14ac:dyDescent="0.2">
      <c r="C216" s="313">
        <v>3</v>
      </c>
      <c r="F216" s="313">
        <f ca="1">OFFSET(rL3.Knoten,rF1.AufteilungMomenteWindSelection,rF1.ColumnPlacementFactor,1,1)</f>
        <v>-6.25E-2</v>
      </c>
      <c r="K216" s="146" t="s">
        <v>314</v>
      </c>
      <c r="L216" s="146" t="s">
        <v>180</v>
      </c>
      <c r="M216" s="353">
        <f ca="1">ABS(rF1.WindLoadDesign)*rF1.WallHeight02^2*rF1.WindMomentFactor*rF1.SlabInfluenceWidth/rF1.WallLenght02</f>
        <v>-0.67161840000000006</v>
      </c>
      <c r="N216" s="353"/>
      <c r="O216" s="353"/>
      <c r="P216" s="146"/>
      <c r="Q216" s="146"/>
      <c r="R216" s="402"/>
    </row>
    <row r="217" spans="3:18" x14ac:dyDescent="0.2">
      <c r="K217" s="140" t="s">
        <v>315</v>
      </c>
      <c r="L217" s="140"/>
      <c r="M217" s="140"/>
      <c r="N217" s="140"/>
      <c r="O217" s="140"/>
      <c r="P217" s="140"/>
      <c r="Q217" s="141"/>
    </row>
    <row r="218" spans="3:18" x14ac:dyDescent="0.2">
      <c r="K218" s="142" t="s">
        <v>316</v>
      </c>
      <c r="L218" s="142"/>
      <c r="M218" s="143"/>
      <c r="N218" s="143"/>
      <c r="O218" s="143"/>
      <c r="P218" s="143"/>
      <c r="Q218" s="192"/>
      <c r="R218" s="402"/>
    </row>
    <row r="219" spans="3:18" ht="15.75" x14ac:dyDescent="0.2">
      <c r="C219" s="308"/>
      <c r="K219" s="146" t="s">
        <v>242</v>
      </c>
      <c r="L219" s="146" t="s">
        <v>62</v>
      </c>
      <c r="M219" s="257">
        <f>rF1.WallAxForceTop</f>
        <v>482.74</v>
      </c>
      <c r="N219" s="146"/>
      <c r="O219" s="146"/>
      <c r="P219" s="146"/>
      <c r="Q219" s="146"/>
      <c r="R219" s="405"/>
    </row>
    <row r="220" spans="3:18" ht="15.75" x14ac:dyDescent="0.2">
      <c r="C220" s="308"/>
      <c r="K220" s="266" t="s">
        <v>306</v>
      </c>
      <c r="L220" s="266" t="s">
        <v>57</v>
      </c>
      <c r="M220" s="345">
        <f ca="1">rF1.BendingMomentDecTop</f>
        <v>4.5065631134034625</v>
      </c>
      <c r="N220" s="266"/>
      <c r="O220" s="266"/>
      <c r="P220" s="266"/>
      <c r="Q220" s="266"/>
      <c r="R220" s="402"/>
    </row>
    <row r="221" spans="3:18" ht="15.75" x14ac:dyDescent="0.2">
      <c r="C221" s="308"/>
      <c r="K221" s="146" t="s">
        <v>317</v>
      </c>
      <c r="L221" s="146" t="s">
        <v>63</v>
      </c>
      <c r="M221" s="354">
        <f ca="1">IF(rF1.WallAxForceTop=0,0,ABS(rF1.BendingMomentDecTop/rF1.WallAxForceTop))</f>
        <v>9.3353836711344874E-3</v>
      </c>
      <c r="N221" s="146"/>
      <c r="O221" s="146"/>
      <c r="P221" s="146"/>
      <c r="Q221" s="146"/>
    </row>
    <row r="222" spans="3:18" ht="15.75" x14ac:dyDescent="0.2">
      <c r="C222" s="308"/>
      <c r="K222" s="266" t="s">
        <v>318</v>
      </c>
      <c r="L222" s="266" t="s">
        <v>142</v>
      </c>
      <c r="M222" s="355">
        <f ca="1">IF(rF1.WallAxForceTop=0,0,ABS(rF1.MomentWindTop/rF1.WallAxForceTop))</f>
        <v>1.391263205866512E-3</v>
      </c>
      <c r="N222" s="266"/>
      <c r="O222" s="266"/>
      <c r="P222" s="266"/>
      <c r="Q222" s="266"/>
    </row>
    <row r="223" spans="3:18" ht="15.75" x14ac:dyDescent="0.2">
      <c r="C223" s="308"/>
      <c r="K223" s="146" t="s">
        <v>319</v>
      </c>
      <c r="L223" s="146" t="s">
        <v>356</v>
      </c>
      <c r="M223" s="354">
        <f>IF(rF1.CheckBendingMomentSlabTop,rF1.EccentricitySlabLoadTop,0)</f>
        <v>0</v>
      </c>
      <c r="N223" s="146"/>
      <c r="O223" s="146"/>
      <c r="P223" s="146"/>
      <c r="Q223" s="146"/>
      <c r="R223" s="402"/>
    </row>
    <row r="224" spans="3:18" ht="15.75" x14ac:dyDescent="0.2">
      <c r="C224" s="308"/>
      <c r="K224" s="266" t="s">
        <v>320</v>
      </c>
      <c r="L224" s="266" t="s">
        <v>64</v>
      </c>
      <c r="M224" s="355">
        <f>0</f>
        <v>0</v>
      </c>
      <c r="N224" s="266"/>
      <c r="O224" s="266"/>
      <c r="P224" s="266"/>
      <c r="Q224" s="266"/>
      <c r="R224" s="402"/>
    </row>
    <row r="225" spans="3:18" ht="15.75" x14ac:dyDescent="0.2">
      <c r="C225" s="308"/>
      <c r="F225" s="145">
        <f ca="1">rF1.EccentricitySlabTop+rF1.EccentricityWindTop+rF1.EccentricityGeoTop+rF1.EccentricityInitialTop</f>
        <v>1.0726646877000999E-2</v>
      </c>
      <c r="G225" s="145">
        <f ca="1">(rF1.BearingDepthTop02-rF1.WallAxForceTop/(rF1.ReductionMasonryStrenghtArea02*rF1.ReductionMasonryStrengthLongTerm*rF1.MasonryStrenghtChar02*1000/rF1.SafetyFactorMaterial02))/2</f>
        <v>4.0587104072398184E-2</v>
      </c>
      <c r="K225" s="170" t="s">
        <v>555</v>
      </c>
      <c r="L225" s="170" t="s">
        <v>369</v>
      </c>
      <c r="M225" s="356">
        <f ca="1">MAX(IF(rF1.WallAxForceTop/(rF1.ReductionMasonryStrenghtArea02*rF1.ReductionMasonryStrengthLongTerm*rF1.MasonryStrenghtChar02*1000/rF1.SafetyFactorMaterial02)&lt;0.333*rF1.BearingDepthTop02,MIN(rF1.EccentricityTopReg,rF1.EccentricityTopAC5),rF1.EccentricityTopReg),0.05*rF1.BearingDepthTop02)</f>
        <v>1.225E-2</v>
      </c>
      <c r="N225" s="357" t="str">
        <f ca="1">IF(rF1.EccentricityTotalTop=rF1.EccentricityTopAC5,rP2.OutputEccentricityAnnexC5,IF(rF1.EccentricityTotalTop=0.05*rF1.BearingDepthTop02,rP2.OutputSmallEccentricity,""))</f>
        <v>0,05 · a maßgebend</v>
      </c>
      <c r="O225" s="146"/>
      <c r="P225" s="146"/>
      <c r="Q225" s="146"/>
      <c r="R225" s="402"/>
    </row>
    <row r="226" spans="3:18" ht="15.75" x14ac:dyDescent="0.2">
      <c r="C226" s="308"/>
      <c r="K226" s="311" t="s">
        <v>371</v>
      </c>
      <c r="L226" s="311" t="s">
        <v>370</v>
      </c>
      <c r="M226" s="358">
        <f ca="1">MAX((rF1.EccentricitySlabTop+rF1.EccentricityWindTop+rF1.EccentricityGeoTop+rF1.EccentricityInitialTop),0.05*rF1.BearingDepthTop02)-rF1.EccentricityTotalTop</f>
        <v>0</v>
      </c>
      <c r="N226" s="359"/>
      <c r="O226" s="266"/>
      <c r="P226" s="266"/>
      <c r="Q226" s="266"/>
      <c r="R226" s="402"/>
    </row>
    <row r="227" spans="3:18" ht="15.75" x14ac:dyDescent="0.2">
      <c r="C227" s="308"/>
      <c r="K227" s="146" t="s">
        <v>250</v>
      </c>
      <c r="L227" s="335" t="s">
        <v>65</v>
      </c>
      <c r="M227" s="360">
        <f ca="1">MAX(1-2*rF1.EccentricityTotalTop/rF1.BearingDepthTop02,0)</f>
        <v>0.9</v>
      </c>
      <c r="N227" s="335"/>
      <c r="O227" s="146"/>
      <c r="P227" s="335"/>
      <c r="Q227" s="146"/>
      <c r="R227" s="402"/>
    </row>
    <row r="228" spans="3:18" x14ac:dyDescent="0.2">
      <c r="C228" s="308"/>
      <c r="K228" s="278" t="s">
        <v>251</v>
      </c>
      <c r="L228" s="278" t="s">
        <v>593</v>
      </c>
      <c r="M228" s="361">
        <f ca="1">rF1.ReductionEccentricityTop*rF1.ReductionMasonryStrenghtArea02*rF1.ReductionMasonryStrengthLongTerm*rF1.MasonryStrenghtChar02*rF1.BearingDepthTop02/(rF1.SafetyFactorMaterial02)*1000</f>
        <v>649.74000000000012</v>
      </c>
      <c r="N228" s="278"/>
      <c r="O228" s="278"/>
      <c r="P228" s="278"/>
      <c r="Q228" s="278"/>
      <c r="R228" s="402"/>
    </row>
    <row r="229" spans="3:18" x14ac:dyDescent="0.2">
      <c r="C229" s="308"/>
      <c r="K229" s="276" t="s">
        <v>252</v>
      </c>
      <c r="L229" s="282" t="s">
        <v>532</v>
      </c>
      <c r="M229" s="288">
        <f ca="1">IF(rF1.AxResistanceTop=0,"Inf.",rF1.WallAxForceTop/rF1.AxResistanceTop)</f>
        <v>0.74297411272201175</v>
      </c>
      <c r="N229" s="282"/>
      <c r="O229" s="276"/>
      <c r="P229" s="282"/>
      <c r="Q229" s="276"/>
      <c r="R229" s="402"/>
    </row>
    <row r="230" spans="3:18" ht="15.75" x14ac:dyDescent="0.2">
      <c r="C230" s="308"/>
      <c r="K230" s="266" t="s">
        <v>528</v>
      </c>
      <c r="L230" s="362" t="s">
        <v>533</v>
      </c>
      <c r="M230" s="327">
        <f ca="1">IF(OR(rF1.FireResNN,rF1.CheckFireResColumn),"-",IF(rF1.WallSlenderness02&lt;=rP1.LimitSlendernessKappa,15/(1.14-0.024*rF1.WallSlenderness02),(25-rF1.WallSlenderness02)/(1.14-0.024*rF1.WallSlenderness02)))</f>
        <v>15.141798489382928</v>
      </c>
      <c r="N230" s="279"/>
      <c r="O230" s="278"/>
      <c r="P230" s="279"/>
      <c r="Q230" s="278"/>
      <c r="R230" s="402"/>
    </row>
    <row r="231" spans="3:18" ht="15.75" x14ac:dyDescent="0.2">
      <c r="C231" s="308"/>
      <c r="G231" s="380" t="str">
        <f ca="1">IF(OR(rF1.FireResNN,rF1.CheckFireResColumn,rF1.CheckFireResManual02),"-",rF1.LoadFactorTopFireReduced*rF1.AxResistanceTop)</f>
        <v>-</v>
      </c>
      <c r="K231" s="170" t="s">
        <v>527</v>
      </c>
      <c r="L231" s="284" t="s">
        <v>534</v>
      </c>
      <c r="M231" s="363" t="str">
        <f ca="1">IF(OR(rF1.FireResNN,rF1.CheckFireResColumn,rF1.CheckFireResManual02),"-",IF(rF1.AxResistanceTop=0,"Inf.",rF1.LoadFactorTop*0.7))</f>
        <v>-</v>
      </c>
      <c r="N231" s="364" t="str">
        <f ca="1">IF(OR(rF1.FireResNN,rF1.CheckFireResColumn,rF1.CheckFireResManual02),"",rF1.LoadFactorTopFireReduced*rF1.AxResistanceTop)</f>
        <v/>
      </c>
      <c r="O231" s="365"/>
      <c r="P231" s="366"/>
      <c r="Q231" s="365"/>
      <c r="R231" s="402"/>
    </row>
    <row r="232" spans="3:18" ht="15.75" x14ac:dyDescent="0.2">
      <c r="C232" s="308">
        <f ca="1">OFFSET(rL6.FireResClassList,rF1.FireResClassSelection-1,1,1,1)</f>
        <v>14</v>
      </c>
      <c r="G232" s="380" t="str">
        <f ca="1">IF(OR(rF1.FireResNN,rF1.CheckFireResColumn,rF1.CheckFireResManual02),"-",rF1.LoadFactorTopFireMax*rF1.AxResistanceTop)</f>
        <v>-</v>
      </c>
      <c r="K232" s="266" t="s">
        <v>525</v>
      </c>
      <c r="L232" s="286" t="s">
        <v>535</v>
      </c>
      <c r="M232" s="327" t="str">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v>
      </c>
      <c r="N232" s="367" t="str">
        <f ca="1">IF(OR(rF1.FireResNN,rF1.CheckFireResColumn,rF1.CheckFireResManual02),"",rF1.LoadFactorTopFireMax*rF1.AxResistanceTop)</f>
        <v/>
      </c>
      <c r="O232" s="278"/>
      <c r="P232" s="279"/>
      <c r="Q232" s="278"/>
      <c r="R232" s="402"/>
    </row>
    <row r="233" spans="3:18" x14ac:dyDescent="0.2">
      <c r="C233" s="313"/>
      <c r="K233" s="365" t="s">
        <v>529</v>
      </c>
      <c r="L233" s="366" t="s">
        <v>536</v>
      </c>
      <c r="M233" s="368" t="str">
        <f ca="1">IF(rF1.FireResNN,rP2.OutputFireResNN,IF(OR(rF1.CheckFireResColumn,rF1.CheckFireResManual02),"-",IF(OR(rF1.LoadFactorTopFireMax=0,rF1.AxResistanceTop=0),"Inf.",rF1.LoadFactorTop*0.7/rF1.LoadFactorTopFireMax)))</f>
        <v>-</v>
      </c>
      <c r="N233" s="365" t="str">
        <f ca="1">IF(rF1.CheckFireResManual02,rP2.OutputFireProofManual02,IF(rF1.CheckFireResColumn,rP2.FireProofManual,IF(rF1.LoadFactorTopFireMax=0,rP2.OutputFireResClassFail,"")))</f>
        <v xml:space="preserve">a &lt; 2/3 · t! → Brandnachweis ist händisch zu führen! </v>
      </c>
      <c r="O233" s="365"/>
      <c r="P233" s="366"/>
      <c r="Q233" s="365"/>
      <c r="R233" s="402"/>
    </row>
    <row r="234" spans="3:18" x14ac:dyDescent="0.2">
      <c r="K234" s="142" t="s">
        <v>321</v>
      </c>
      <c r="L234" s="142"/>
      <c r="M234" s="143"/>
      <c r="N234" s="143"/>
      <c r="O234" s="143"/>
      <c r="P234" s="143"/>
      <c r="Q234" s="192"/>
      <c r="R234" s="406"/>
    </row>
    <row r="235" spans="3:18" ht="15.75" x14ac:dyDescent="0.2">
      <c r="C235" s="194"/>
      <c r="K235" s="146" t="s">
        <v>243</v>
      </c>
      <c r="L235" s="146" t="s">
        <v>33</v>
      </c>
      <c r="M235" s="257">
        <f ca="1">rF1.WallAxForceMiddle</f>
        <v>490.31503368437501</v>
      </c>
      <c r="N235" s="146"/>
      <c r="O235" s="146"/>
      <c r="P235" s="146"/>
      <c r="Q235" s="146"/>
      <c r="R235" s="406"/>
    </row>
    <row r="236" spans="3:18" ht="15.75" x14ac:dyDescent="0.2">
      <c r="C236" s="308"/>
      <c r="K236" s="266" t="s">
        <v>322</v>
      </c>
      <c r="L236" s="266" t="s">
        <v>66</v>
      </c>
      <c r="M236" s="355">
        <f ca="1">IF(OR(rF1.CheckBendingMomentSlabTop,rF1.CheckBendingMomentSlabBottom),(rF1.EccentricitySlabLoadTop+rF1.EccentricitySlabLoadBottom)/2,(2*rF1.WallThickness02-rF1.BearingDepthTop02-rF1.BearingDepthBottom02)/4)</f>
        <v>0.09</v>
      </c>
      <c r="N236" s="266"/>
      <c r="O236" s="266"/>
      <c r="P236" s="266"/>
      <c r="Q236" s="266"/>
      <c r="R236" s="406"/>
    </row>
    <row r="237" spans="3:18" ht="15.75" x14ac:dyDescent="0.2">
      <c r="C237" s="308"/>
      <c r="K237" s="170" t="s">
        <v>371</v>
      </c>
      <c r="L237" s="170" t="s">
        <v>372</v>
      </c>
      <c r="M237" s="356">
        <f ca="1">((rF1.EccentricityShiftC5Bottom*rF1.WallAxForceBottom-rF1.EccentricityShiftC5Top*rF1.WallAxForceTop)/2)/rF1.WallAxForceMiddle</f>
        <v>0</v>
      </c>
      <c r="N237" s="146"/>
      <c r="O237" s="146"/>
      <c r="P237" s="146"/>
      <c r="Q237" s="146"/>
      <c r="R237" s="407"/>
    </row>
    <row r="238" spans="3:18" ht="15.75" x14ac:dyDescent="0.2">
      <c r="C238" s="308"/>
      <c r="K238" s="266" t="s">
        <v>317</v>
      </c>
      <c r="L238" s="266" t="s">
        <v>67</v>
      </c>
      <c r="M238" s="355">
        <f ca="1">IF(rF1.WallAxForceMiddle=0,0,ABS(rF1.BendingMomentDecMiddle/rF1.WallAxForceMiddle))</f>
        <v>6.4195211224140243E-3</v>
      </c>
      <c r="N238" s="266"/>
      <c r="O238" s="266"/>
      <c r="P238" s="266"/>
      <c r="Q238" s="266"/>
      <c r="R238" s="406"/>
    </row>
    <row r="239" spans="3:18" ht="15.75" x14ac:dyDescent="0.2">
      <c r="C239" s="308"/>
      <c r="K239" s="146" t="s">
        <v>318</v>
      </c>
      <c r="L239" s="146" t="s">
        <v>143</v>
      </c>
      <c r="M239" s="354">
        <f ca="1">IF(rF1.WallAxForceMiddle=0,0,ABS(rF1.MomentWindMiddle/rF1.WallAxForceMiddle))</f>
        <v>1.3697691358824078E-3</v>
      </c>
      <c r="N239" s="146"/>
      <c r="O239" s="146"/>
      <c r="P239" s="146"/>
      <c r="Q239" s="146"/>
      <c r="R239" s="407"/>
    </row>
    <row r="240" spans="3:18" ht="15.75" x14ac:dyDescent="0.2">
      <c r="C240" s="308"/>
      <c r="K240" s="266" t="s">
        <v>320</v>
      </c>
      <c r="L240" s="266" t="s">
        <v>64</v>
      </c>
      <c r="M240" s="355">
        <f ca="1">rF1.WallHeightBuckling/450</f>
        <v>5.8777777777777778E-3</v>
      </c>
      <c r="N240" s="266"/>
      <c r="O240" s="266"/>
      <c r="P240" s="266"/>
      <c r="Q240" s="266"/>
    </row>
    <row r="241" spans="1:35" ht="15.75" x14ac:dyDescent="0.2">
      <c r="C241" s="308"/>
      <c r="K241" s="170" t="s">
        <v>323</v>
      </c>
      <c r="L241" s="146" t="s">
        <v>68</v>
      </c>
      <c r="M241" s="354">
        <f ca="1">rF1.EccentricitySystemMiddle+rF1.EccentricityShiftC5Middle+rF1.EccentricitySlabMiddle+rF1.EccentricityWindMiddle+rF1.EccentricityInitialMiddle</f>
        <v>0.1036670680360742</v>
      </c>
      <c r="N241" s="369"/>
      <c r="O241" s="146"/>
      <c r="P241" s="146"/>
      <c r="Q241" s="146"/>
      <c r="R241" s="402"/>
    </row>
    <row r="242" spans="1:35" ht="15.75" x14ac:dyDescent="0.2">
      <c r="C242" s="308"/>
      <c r="K242" s="266" t="s">
        <v>324</v>
      </c>
      <c r="L242" s="266" t="s">
        <v>69</v>
      </c>
      <c r="M242" s="355">
        <f ca="1">IF(rF1.WallSlenderness02&lt;=rP1.MaxSlendernessCreepEcc,0,0.002*rP1.CreepCoefficient*rF1.WallHeightBuckling/rF1.WallThickness02*SQRT(rF1.WallThickness02*rF1.EccentricityLoadsMiddle))</f>
        <v>0</v>
      </c>
      <c r="N242" s="347" t="str">
        <f ca="1">IF(rF1.WallSlenderness02&lt;=rP1.MaxSlendernessCreepEcc,"λc ≤ "&amp;rP1.MaxSlendernessCreepEcc,"")</f>
        <v>λc ≤ 15</v>
      </c>
      <c r="O242" s="266"/>
      <c r="P242" s="266"/>
      <c r="Q242" s="266"/>
      <c r="R242" s="402"/>
    </row>
    <row r="243" spans="1:35" ht="15.75" x14ac:dyDescent="0.2">
      <c r="C243" s="308"/>
      <c r="K243" s="146" t="s">
        <v>325</v>
      </c>
      <c r="L243" s="146" t="s">
        <v>70</v>
      </c>
      <c r="M243" s="354">
        <f ca="1">MAX(rF1.EccentricityLoadsMiddle+rF1.EccentricityCreepMiddle,0.05*rF1.WallThickness02)</f>
        <v>0.1036670680360742</v>
      </c>
      <c r="N243" s="218" t="str">
        <f ca="1">IF(rF1.EccentricityTotalMiddle=0.05*rF1.WallThickness02,rP2.OutputSmallEccentricityMiddle,"")</f>
        <v/>
      </c>
      <c r="O243" s="146"/>
      <c r="P243" s="146"/>
      <c r="Q243" s="146"/>
      <c r="R243" s="402"/>
    </row>
    <row r="244" spans="1:35" ht="15.75" x14ac:dyDescent="0.2">
      <c r="C244" s="308"/>
      <c r="K244" s="266" t="s">
        <v>278</v>
      </c>
      <c r="L244" s="266" t="s">
        <v>71</v>
      </c>
      <c r="M244" s="370">
        <f ca="1">rF1.WallHeightEffective</f>
        <v>2.645</v>
      </c>
      <c r="N244" s="266"/>
      <c r="O244" s="266"/>
      <c r="P244" s="266"/>
      <c r="Q244" s="266"/>
      <c r="R244" s="402"/>
    </row>
    <row r="245" spans="1:35" ht="15.75" x14ac:dyDescent="0.2">
      <c r="C245" s="308"/>
      <c r="F245" s="145">
        <f ca="1">MAX(1.14*(1-2*rF1.EccentricityTotalMiddle/rF1.WallThickness02)-0.024*rF1.WallHeightEffective/rF1.WallThickness02,0)</f>
        <v>0.43449196441823712</v>
      </c>
      <c r="G245" s="145">
        <f ca="1">MAX(1-2*rF1.EccentricityTotalMiddle/rF1.WallThickness02,0)</f>
        <v>0.51215497394788612</v>
      </c>
      <c r="K245" s="146" t="s">
        <v>250</v>
      </c>
      <c r="L245" s="335" t="s">
        <v>72</v>
      </c>
      <c r="M245" s="360">
        <f ca="1">MIN(rF1.ReductionEccMiddle01,rF1.ReductionEccMiddle02)</f>
        <v>0.43449196441823712</v>
      </c>
      <c r="N245" s="335"/>
      <c r="O245" s="146"/>
      <c r="P245" s="335"/>
      <c r="Q245" s="146"/>
      <c r="R245" s="402"/>
    </row>
    <row r="246" spans="1:35" x14ac:dyDescent="0.2">
      <c r="C246" s="308"/>
      <c r="K246" s="278" t="s">
        <v>251</v>
      </c>
      <c r="L246" s="278" t="s">
        <v>592</v>
      </c>
      <c r="M246" s="361">
        <f ca="1">rF1.ReductionEccentricityMiddle*rF1.ReductionMasonryStrenghtArea02*rF1.ReductionMasonryStrengthLongTerm*rF1.MasonryStrenghtChar02*rF1.WallThickness02/rF1.SafetyFactorMaterial02*1000</f>
        <v>544.12877010643888</v>
      </c>
      <c r="N246" s="278"/>
      <c r="O246" s="278"/>
      <c r="P246" s="278"/>
      <c r="Q246" s="278"/>
      <c r="R246" s="402"/>
    </row>
    <row r="247" spans="1:35" x14ac:dyDescent="0.2">
      <c r="C247" s="308"/>
      <c r="K247" s="276" t="s">
        <v>252</v>
      </c>
      <c r="L247" s="282" t="s">
        <v>537</v>
      </c>
      <c r="M247" s="288">
        <f ca="1">IF(rF1.AxResistanceMiddle=0,"Inf.",rF1.WallAxForceMiddle/rF1.AxResistanceMiddle)</f>
        <v>0.90110110073478167</v>
      </c>
      <c r="N247" s="282"/>
      <c r="O247" s="276"/>
      <c r="P247" s="282"/>
      <c r="Q247" s="276"/>
      <c r="R247" s="402"/>
    </row>
    <row r="248" spans="1:35" ht="15.75" x14ac:dyDescent="0.2">
      <c r="C248" s="308"/>
      <c r="K248" s="266" t="s">
        <v>528</v>
      </c>
      <c r="L248" s="362" t="s">
        <v>538</v>
      </c>
      <c r="M248" s="327">
        <f ca="1">IF(OR(rF1.FireResNN,rF1.CheckFireResColumn),"-",IF(rF1.WallSlenderness02&lt;=rP1.LimitSlendernessKappa,15/(1.14-0.024*rF1.WallSlenderness02),(25-rF1.WallSlenderness02)/(1.14-0.024*rF1.WallSlenderness02)))</f>
        <v>15.141798489382928</v>
      </c>
      <c r="N248" s="279"/>
      <c r="O248" s="278"/>
      <c r="P248" s="279"/>
      <c r="Q248" s="278"/>
      <c r="R248" s="402"/>
    </row>
    <row r="249" spans="1:35" ht="15.75" x14ac:dyDescent="0.2">
      <c r="C249" s="308"/>
      <c r="G249" s="380" t="str">
        <f ca="1">IF(OR(rF1.FireResNN,rF1.CheckFireResColumn,rF1.CheckFireResManual02),"-",rF1.LoadFactorMiddleFireReduced*rF1.AxResistanceMiddle)</f>
        <v>-</v>
      </c>
      <c r="K249" s="170" t="s">
        <v>527</v>
      </c>
      <c r="L249" s="284" t="s">
        <v>539</v>
      </c>
      <c r="M249" s="363" t="str">
        <f ca="1">IF(OR(rF1.FireResNN,rF1.CheckFireResColumn,rF1.CheckFireResManual02),"-",IF(rF1.AxResistanceMiddle=0,"Inf.",rF1.LoadFactorMiddle*0.7))</f>
        <v>-</v>
      </c>
      <c r="N249" s="364" t="str">
        <f ca="1">IF(OR(rF1.FireResNN,rF1.CheckFireResColumn,rF1.CheckFireResManual02),"",rF1.LoadFactorMiddleFireReduced*rF1.AxResistanceMiddle)</f>
        <v/>
      </c>
      <c r="O249" s="365"/>
      <c r="P249" s="366"/>
      <c r="Q249" s="365"/>
      <c r="R249" s="402"/>
    </row>
    <row r="250" spans="1:35" ht="15.75" x14ac:dyDescent="0.2">
      <c r="C250" s="308">
        <f ca="1">OFFSET(rL6.FireResClassList,rF1.FireResClassSelection-1,1,1,1)</f>
        <v>14</v>
      </c>
      <c r="G250" s="380" t="str">
        <f ca="1">IF(OR(rF1.FireResNN,rF1.CheckFireResColumn,rF1.CheckFireResManual02),"-",rF1.LoadFactorMiddleFireMax*rF1.AxResistanceMiddle)</f>
        <v>-</v>
      </c>
      <c r="K250" s="266" t="s">
        <v>525</v>
      </c>
      <c r="L250" s="286" t="s">
        <v>540</v>
      </c>
      <c r="M250" s="327" t="str">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v>
      </c>
      <c r="N250" s="367" t="str">
        <f ca="1">IF(OR(rF1.FireResNN,rF1.CheckFireResColumn,rF1.CheckFireResManual02),"",rF1.LoadFactorMiddleFireMax*rF1.AxResistanceMiddle)</f>
        <v/>
      </c>
      <c r="O250" s="278"/>
      <c r="P250" s="279"/>
      <c r="Q250" s="278"/>
      <c r="R250" s="402"/>
    </row>
    <row r="251" spans="1:35" x14ac:dyDescent="0.2">
      <c r="C251" s="313"/>
      <c r="K251" s="365" t="s">
        <v>529</v>
      </c>
      <c r="L251" s="366" t="s">
        <v>541</v>
      </c>
      <c r="M251" s="368" t="str">
        <f ca="1">IF(rF1.FireResNN,rP2.OutputFireResNN,IF(OR(rF1.CheckFireResColumn,rF1.CheckFireResManual02),"-",IF(OR(rF1.LoadFactorMiddleFireMax=0,rF1.AxResistanceMiddle=0),"Inf.",rF1.LoadFactorMiddle*0.7/rF1.LoadFactorMiddleFireMax)))</f>
        <v>-</v>
      </c>
      <c r="N251" s="365" t="str">
        <f ca="1">IF(rF1.CheckFireResManual02,rP2.OutputFireProofManual02,IF(rF1.CheckFireResColumn,rP2.FireProofManual,IF(rF1.LoadFactorMiddleFireMax=0,rP2.OutputFireResClassFail,"")))</f>
        <v xml:space="preserve">a &lt; 2/3 · t! → Brandnachweis ist händisch zu führen! </v>
      </c>
      <c r="O251" s="365"/>
      <c r="P251" s="366"/>
      <c r="Q251" s="365"/>
      <c r="R251" s="402"/>
    </row>
    <row r="252" spans="1:35" x14ac:dyDescent="0.2">
      <c r="K252" s="142" t="s">
        <v>326</v>
      </c>
      <c r="L252" s="142"/>
      <c r="M252" s="143"/>
      <c r="N252" s="143"/>
      <c r="O252" s="143"/>
      <c r="P252" s="143"/>
      <c r="Q252" s="192"/>
      <c r="R252" s="406"/>
    </row>
    <row r="253" spans="1:35" ht="15.75" x14ac:dyDescent="0.2">
      <c r="C253" s="194"/>
      <c r="K253" s="146" t="s">
        <v>244</v>
      </c>
      <c r="L253" s="146" t="s">
        <v>34</v>
      </c>
      <c r="M253" s="257">
        <f ca="1">rF1.WallAxForceBottom</f>
        <v>497.89006736875001</v>
      </c>
      <c r="N253" s="146"/>
      <c r="O253" s="146"/>
      <c r="P253" s="146"/>
      <c r="Q253" s="146"/>
      <c r="R253" s="406"/>
    </row>
    <row r="254" spans="1:35" ht="15.75" x14ac:dyDescent="0.2">
      <c r="C254" s="308"/>
      <c r="K254" s="266" t="s">
        <v>306</v>
      </c>
      <c r="L254" s="266" t="s">
        <v>57</v>
      </c>
      <c r="M254" s="345">
        <f ca="1">rF1.BendingMomentDecBottom</f>
        <v>1.7886123173445154</v>
      </c>
      <c r="N254" s="266"/>
      <c r="O254" s="266"/>
      <c r="P254" s="266"/>
      <c r="Q254" s="266"/>
      <c r="R254" s="406"/>
    </row>
    <row r="255" spans="1:35" s="281" customFormat="1" ht="15.75" x14ac:dyDescent="0.2">
      <c r="A255" s="116"/>
      <c r="B255" s="116"/>
      <c r="C255" s="308"/>
      <c r="D255" s="116"/>
      <c r="E255" s="116"/>
      <c r="F255" s="116"/>
      <c r="G255" s="116"/>
      <c r="H255" s="116"/>
      <c r="I255" s="116"/>
      <c r="J255" s="116"/>
      <c r="K255" s="146" t="s">
        <v>317</v>
      </c>
      <c r="L255" s="146" t="s">
        <v>73</v>
      </c>
      <c r="M255" s="354">
        <f ca="1">IF(rF1.WallAxForceBottom=0,0,ABS(rF1.BendingMomentDecBottom/rF1.WallAxForceBottom))</f>
        <v>3.5923840111874009E-3</v>
      </c>
      <c r="N255" s="146"/>
      <c r="O255" s="146"/>
      <c r="P255" s="146"/>
      <c r="Q255" s="146"/>
      <c r="R255" s="407"/>
      <c r="T255" s="371"/>
      <c r="U255" s="371"/>
      <c r="V255" s="371"/>
      <c r="W255" s="371"/>
      <c r="X255" s="371"/>
      <c r="Y255" s="371"/>
      <c r="Z255" s="371"/>
      <c r="AA255" s="371"/>
      <c r="AB255" s="371"/>
      <c r="AC255" s="371"/>
      <c r="AD255" s="371"/>
      <c r="AE255" s="371"/>
      <c r="AF255" s="371"/>
      <c r="AG255" s="371"/>
      <c r="AH255" s="371"/>
      <c r="AI255" s="371"/>
    </row>
    <row r="256" spans="1:35" s="281" customFormat="1" ht="15.75" x14ac:dyDescent="0.2">
      <c r="A256" s="116"/>
      <c r="B256" s="116"/>
      <c r="C256" s="308"/>
      <c r="D256" s="116"/>
      <c r="E256" s="116"/>
      <c r="F256" s="116"/>
      <c r="G256" s="116"/>
      <c r="H256" s="116"/>
      <c r="I256" s="116"/>
      <c r="J256" s="116"/>
      <c r="K256" s="266" t="s">
        <v>318</v>
      </c>
      <c r="L256" s="266" t="s">
        <v>144</v>
      </c>
      <c r="M256" s="355">
        <f ca="1">IF(rF1.WallAxForceBottom=0,0,ABS(rF1.MomentWindBottom/rF1.WallAxForceBottom))</f>
        <v>1.3489290990466424E-3</v>
      </c>
      <c r="N256" s="266"/>
      <c r="O256" s="266"/>
      <c r="P256" s="266"/>
      <c r="Q256" s="266"/>
      <c r="R256" s="406"/>
      <c r="T256" s="371"/>
      <c r="U256" s="371"/>
      <c r="V256" s="371"/>
      <c r="W256" s="371"/>
      <c r="X256" s="371"/>
      <c r="Y256" s="371"/>
      <c r="Z256" s="371"/>
      <c r="AA256" s="371"/>
      <c r="AB256" s="371"/>
      <c r="AC256" s="371"/>
      <c r="AD256" s="371"/>
      <c r="AE256" s="371"/>
      <c r="AF256" s="371"/>
      <c r="AG256" s="371"/>
      <c r="AH256" s="371"/>
      <c r="AI256" s="371"/>
    </row>
    <row r="257" spans="1:35" s="281" customFormat="1" ht="15.75" x14ac:dyDescent="0.2">
      <c r="A257" s="116"/>
      <c r="B257" s="116"/>
      <c r="C257" s="308"/>
      <c r="D257" s="116"/>
      <c r="E257" s="116"/>
      <c r="F257" s="116"/>
      <c r="G257" s="116"/>
      <c r="H257" s="116"/>
      <c r="I257" s="116"/>
      <c r="J257" s="116"/>
      <c r="K257" s="146" t="s">
        <v>319</v>
      </c>
      <c r="L257" s="146" t="s">
        <v>357</v>
      </c>
      <c r="M257" s="354">
        <f>IF(rF1.CheckBendingMomentSlabBottom,ABS(rF1.EccentricitySlabLoadBottom),0)</f>
        <v>0</v>
      </c>
      <c r="N257" s="146"/>
      <c r="O257" s="146"/>
      <c r="P257" s="146"/>
      <c r="Q257" s="146"/>
      <c r="R257" s="407"/>
      <c r="T257" s="371"/>
      <c r="U257" s="371"/>
      <c r="V257" s="371"/>
      <c r="W257" s="371"/>
      <c r="X257" s="371"/>
      <c r="Y257" s="371"/>
      <c r="Z257" s="371"/>
      <c r="AA257" s="371"/>
      <c r="AB257" s="371"/>
      <c r="AC257" s="371"/>
      <c r="AD257" s="371"/>
      <c r="AE257" s="371"/>
      <c r="AF257" s="371"/>
      <c r="AG257" s="371"/>
      <c r="AH257" s="371"/>
      <c r="AI257" s="371"/>
    </row>
    <row r="258" spans="1:35" s="281" customFormat="1" ht="15.75" x14ac:dyDescent="0.2">
      <c r="A258" s="116"/>
      <c r="B258" s="116"/>
      <c r="C258" s="308"/>
      <c r="D258" s="116"/>
      <c r="E258" s="116"/>
      <c r="F258" s="116"/>
      <c r="G258" s="116"/>
      <c r="H258" s="116"/>
      <c r="I258" s="116"/>
      <c r="J258" s="116"/>
      <c r="K258" s="266" t="s">
        <v>320</v>
      </c>
      <c r="L258" s="266" t="s">
        <v>64</v>
      </c>
      <c r="M258" s="355">
        <f>0</f>
        <v>0</v>
      </c>
      <c r="N258" s="266"/>
      <c r="O258" s="266"/>
      <c r="P258" s="266"/>
      <c r="Q258" s="266"/>
      <c r="R258" s="400"/>
      <c r="T258" s="371"/>
      <c r="U258" s="371"/>
      <c r="V258" s="371"/>
      <c r="W258" s="371"/>
      <c r="X258" s="371"/>
      <c r="Y258" s="371"/>
      <c r="Z258" s="371"/>
      <c r="AA258" s="371"/>
      <c r="AB258" s="371"/>
      <c r="AC258" s="371"/>
      <c r="AD258" s="371"/>
      <c r="AE258" s="371"/>
      <c r="AF258" s="371"/>
      <c r="AG258" s="371"/>
      <c r="AH258" s="371"/>
      <c r="AI258" s="371"/>
    </row>
    <row r="259" spans="1:35" ht="15.75" x14ac:dyDescent="0.2">
      <c r="C259" s="308"/>
      <c r="F259" s="145">
        <f ca="1">rF1.EccentricitySlabBottom+rF1.EccentricityWindBottom+rF1.EccentricityGeoBottom+rF1.EccentricityInitialBottom</f>
        <v>4.9413131102340434E-3</v>
      </c>
      <c r="G259" s="145">
        <f ca="1">(rF1.BearingDepthBottom02-rF1.WallAxForceBottom/(rF1.ReductionMasonryStrenghtArea02*rF1.ReductionMasonryStrengthLongTerm*rF1.MasonryStrenghtChar02*1000/rF1.SafetyFactorMaterial02))/2</f>
        <v>3.801639128358314E-2</v>
      </c>
      <c r="K259" s="170" t="s">
        <v>556</v>
      </c>
      <c r="L259" s="146" t="s">
        <v>74</v>
      </c>
      <c r="M259" s="356">
        <f ca="1">MAX(IF(rF1.WallAxForceBottom/(rF1.ReductionMasonryStrenghtArea02*rF1.ReductionMasonryStrengthLongTerm*rF1.MasonryStrenghtChar02*1000/rF1.SafetyFactorMaterial02)&lt;0.333*rF1.BearingDepthBottom02,MIN(rF1.EccentricityBottomReg,rF1.EccentricityBottomAC5),rF1.EccentricityBottomReg),0.05*rF1.BearingDepthBottom02)</f>
        <v>1.225E-2</v>
      </c>
      <c r="N259" s="357" t="str">
        <f ca="1">IF(rF1.EccentricityTotalBottom=rF1.EccentricityBottomAC5,rP2.OutputEccentricityAnnexC5,IF(rF1.EccentricityTotalBottom=0.05*rF1.BearingDepthBottom02,rP2.OutputSmallEccentricity,""))</f>
        <v>0,05 · a maßgebend</v>
      </c>
      <c r="O259" s="146"/>
      <c r="P259" s="146"/>
      <c r="Q259" s="146"/>
      <c r="R259" s="402"/>
    </row>
    <row r="260" spans="1:35" ht="15.75" x14ac:dyDescent="0.2">
      <c r="C260" s="308"/>
      <c r="K260" s="311" t="s">
        <v>371</v>
      </c>
      <c r="L260" s="311" t="s">
        <v>373</v>
      </c>
      <c r="M260" s="358">
        <f ca="1">MAX((rF1.EccentricitySlabBottom+rF1.EccentricityWindBottom+rF1.EccentricityGeoBottom+rF1.EccentricityInitialBottom),0.05*rF1.BearingDepthBottom02)-rF1.EccentricityTotalBottom</f>
        <v>0</v>
      </c>
      <c r="N260" s="372"/>
      <c r="O260" s="266"/>
      <c r="P260" s="266"/>
      <c r="Q260" s="266"/>
      <c r="R260" s="402"/>
    </row>
    <row r="261" spans="1:35" ht="15.75" x14ac:dyDescent="0.2">
      <c r="C261" s="308"/>
      <c r="K261" s="146" t="s">
        <v>250</v>
      </c>
      <c r="L261" s="335" t="s">
        <v>75</v>
      </c>
      <c r="M261" s="360">
        <f ca="1">MAX(1-2*rF1.EccentricityTotalBottom/rF1.BearingDepthBottom02,0)</f>
        <v>0.9</v>
      </c>
      <c r="N261" s="335"/>
      <c r="O261" s="146"/>
      <c r="P261" s="335"/>
      <c r="Q261" s="146"/>
      <c r="R261" s="402"/>
    </row>
    <row r="262" spans="1:35" x14ac:dyDescent="0.2">
      <c r="C262" s="308"/>
      <c r="K262" s="278" t="s">
        <v>251</v>
      </c>
      <c r="L262" s="278" t="s">
        <v>591</v>
      </c>
      <c r="M262" s="361">
        <f ca="1">rF1.ReductionEccentricityBottom*rF1.ReductionMasonryStrenghtArea02*rF1.ReductionMasonryStrengthLongTerm*rF1.MasonryStrenghtChar02*rF1.BearingDepthBottom02/rF1.SafetyFactorMaterial02*1000</f>
        <v>649.74000000000012</v>
      </c>
      <c r="N262" s="278"/>
      <c r="O262" s="278"/>
      <c r="P262" s="278"/>
      <c r="Q262" s="278"/>
      <c r="R262" s="402"/>
    </row>
    <row r="263" spans="1:35" x14ac:dyDescent="0.2">
      <c r="C263" s="308"/>
      <c r="K263" s="276" t="s">
        <v>252</v>
      </c>
      <c r="L263" s="282" t="s">
        <v>542</v>
      </c>
      <c r="M263" s="288">
        <f ca="1">IF(rF1.AxResistanceBottom=0,"Inf.",rF1.WallAxForceBottom/rF1.AxResistanceBottom)</f>
        <v>0.76629123552305523</v>
      </c>
      <c r="N263" s="282"/>
      <c r="O263" s="276"/>
      <c r="P263" s="282"/>
      <c r="Q263" s="276"/>
      <c r="R263" s="402"/>
    </row>
    <row r="264" spans="1:35" ht="15.75" x14ac:dyDescent="0.2">
      <c r="C264" s="308"/>
      <c r="K264" s="266" t="s">
        <v>528</v>
      </c>
      <c r="L264" s="362" t="s">
        <v>543</v>
      </c>
      <c r="M264" s="327">
        <f ca="1">IF(OR(rF1.FireResNN,rF1.CheckFireResColumn),"-",IF(rF1.WallSlenderness02&lt;=rP1.LimitSlendernessKappa,15/(1.14-0.024*rF1.WallSlenderness02),(25-rF1.WallSlenderness02)/(1.14-0.024*rF1.WallSlenderness02)))</f>
        <v>15.141798489382928</v>
      </c>
      <c r="N264" s="279"/>
      <c r="O264" s="278"/>
      <c r="P264" s="279"/>
      <c r="Q264" s="278"/>
      <c r="R264" s="402"/>
    </row>
    <row r="265" spans="1:35" ht="15.75" x14ac:dyDescent="0.2">
      <c r="C265" s="308"/>
      <c r="G265" s="380" t="str">
        <f ca="1">IF(OR(rF1.FireResNN,rF1.CheckFireResColumn,rF1.CheckFireResManual02),"-",rF1.LoadFactorBottomFireReduced*rF1.AxResistanceBottom)</f>
        <v>-</v>
      </c>
      <c r="K265" s="170" t="s">
        <v>527</v>
      </c>
      <c r="L265" s="284" t="s">
        <v>544</v>
      </c>
      <c r="M265" s="326" t="str">
        <f ca="1">IF(OR(rF1.FireResNN,rF1.CheckFireResColumn,rF1.CheckFireResManual02),"-",IF(rF1.AxResistanceBottom=0,"Inf.",rF1.LoadFactorBottom*0.7))</f>
        <v>-</v>
      </c>
      <c r="N265" s="364" t="str">
        <f ca="1">IF(OR(rF1.FireResNN,rF1.CheckFireResColumn,rF1.CheckFireResManual02),"",rF1.LoadFactorBottomFireReduced*rF1.AxResistanceBottom)</f>
        <v/>
      </c>
      <c r="O265" s="276"/>
      <c r="P265" s="282"/>
      <c r="Q265" s="276"/>
      <c r="R265" s="402"/>
    </row>
    <row r="266" spans="1:35" ht="15.75" x14ac:dyDescent="0.2">
      <c r="C266" s="308">
        <f ca="1">OFFSET(rL6.FireResClassList,rF1.FireResClassSelection-1,1,1,1)</f>
        <v>14</v>
      </c>
      <c r="G266" s="380" t="str">
        <f ca="1">IF(OR(rF1.FireResNN,rF1.CheckFireResColumn,rF1.CheckFireResManual02),"-",rF1.LoadFactorBottomFireMax*rF1.AxResistanceBottom)</f>
        <v>-</v>
      </c>
      <c r="K266" s="266" t="s">
        <v>525</v>
      </c>
      <c r="L266" s="286" t="s">
        <v>545</v>
      </c>
      <c r="M266" s="327" t="str">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v>
      </c>
      <c r="N266" s="367" t="str">
        <f ca="1">IF(OR(rF1.FireResNN,rF1.CheckFireResColumn,rF1.CheckFireResManual02),"",rF1.LoadFactorBottomFireMax*rF1.AxResistanceBottom)</f>
        <v/>
      </c>
      <c r="O266" s="278"/>
      <c r="P266" s="279"/>
      <c r="Q266" s="278"/>
      <c r="R266" s="402"/>
    </row>
    <row r="267" spans="1:35" x14ac:dyDescent="0.2">
      <c r="C267" s="313"/>
      <c r="K267" s="276" t="s">
        <v>529</v>
      </c>
      <c r="L267" s="282" t="s">
        <v>546</v>
      </c>
      <c r="M267" s="288" t="str">
        <f ca="1">IF(rF1.FireResNN,rP2.OutputFireResNN,IF(OR(rF1.CheckFireResColumn,rF1.CheckFireResManual02),"-",IF(OR(rF1.LoadFactorBottomFireMax=0,rF1.AxResistanceBottom=0),"Inf.",rF1.LoadFactorBottom*0.7/rF1.LoadFactorBottomFireMax)))</f>
        <v>-</v>
      </c>
      <c r="N267" s="276" t="str">
        <f ca="1">IF(rF1.CheckFireResManual02,rP2.OutputFireProofManual02,IF(rF1.CheckFireResColumn,rP2.FireProofManual,IF(rF1.LoadFactorBottomFireMax=0,rP2.OutputFireResClassFail,"")))</f>
        <v xml:space="preserve">a &lt; 2/3 · t! → Brandnachweis ist händisch zu führen! </v>
      </c>
      <c r="O267" s="276"/>
      <c r="P267" s="282"/>
      <c r="Q267" s="276"/>
      <c r="R267" s="402"/>
    </row>
    <row r="268" spans="1:35" hidden="1" x14ac:dyDescent="0.2">
      <c r="Q268" s="116">
        <v>4</v>
      </c>
      <c r="R268" s="406"/>
    </row>
    <row r="269" spans="1:35" hidden="1" x14ac:dyDescent="0.2">
      <c r="R269" s="406"/>
    </row>
    <row r="270" spans="1:35" hidden="1" x14ac:dyDescent="0.2">
      <c r="R270" s="406"/>
    </row>
    <row r="271" spans="1:35" hidden="1" x14ac:dyDescent="0.2">
      <c r="R271" s="406"/>
    </row>
    <row r="272" spans="1:35" hidden="1" x14ac:dyDescent="0.2">
      <c r="R272" s="406"/>
    </row>
    <row r="273" spans="18:18" hidden="1" x14ac:dyDescent="0.2">
      <c r="R273" s="406"/>
    </row>
    <row r="274" spans="18:18" hidden="1" x14ac:dyDescent="0.2">
      <c r="R274" s="400">
        <v>4</v>
      </c>
    </row>
    <row r="275" spans="18:18" hidden="1" x14ac:dyDescent="0.2"/>
    <row r="276" spans="18:18" hidden="1" x14ac:dyDescent="0.2"/>
    <row r="277" spans="18:18" hidden="1" x14ac:dyDescent="0.2"/>
    <row r="278" spans="18:18" hidden="1" x14ac:dyDescent="0.2"/>
    <row r="279" spans="18:18" hidden="1" x14ac:dyDescent="0.2"/>
  </sheetData>
  <sheetProtection selectLockedCells="1"/>
  <mergeCells count="7">
    <mergeCell ref="L25:P25"/>
    <mergeCell ref="N18:O18"/>
    <mergeCell ref="K19:M20"/>
    <mergeCell ref="N19:O20"/>
    <mergeCell ref="L22:P22"/>
    <mergeCell ref="L23:P23"/>
    <mergeCell ref="L24:P24"/>
  </mergeCells>
  <conditionalFormatting sqref="L30:L31">
    <cfRule type="expression" dxfId="229" priority="115">
      <formula>$E$12="Nicht vorhanden"</formula>
    </cfRule>
  </conditionalFormatting>
  <conditionalFormatting sqref="L49:L55 L60 L62:L65">
    <cfRule type="expression" dxfId="228" priority="114">
      <formula>$C$41="Nicht vorhanden"</formula>
    </cfRule>
  </conditionalFormatting>
  <conditionalFormatting sqref="L58:L59">
    <cfRule type="expression" dxfId="227" priority="113">
      <formula>$C$41="Nicht vorhanden"</formula>
    </cfRule>
  </conditionalFormatting>
  <conditionalFormatting sqref="L29">
    <cfRule type="expression" dxfId="226" priority="112">
      <formula>$E$12="Nicht vorhanden"</formula>
    </cfRule>
  </conditionalFormatting>
  <conditionalFormatting sqref="L89">
    <cfRule type="expression" dxfId="225" priority="111">
      <formula>$E$12="Nicht vorhanden"</formula>
    </cfRule>
  </conditionalFormatting>
  <conditionalFormatting sqref="K109:L109 K60 K62:K65">
    <cfRule type="expression" dxfId="224" priority="110">
      <formula>$C$39="Nicht vorhanden"</formula>
    </cfRule>
  </conditionalFormatting>
  <conditionalFormatting sqref="M89">
    <cfRule type="expression" dxfId="223" priority="109">
      <formula>$E$12="Nicht vorhanden"</formula>
    </cfRule>
  </conditionalFormatting>
  <conditionalFormatting sqref="O89">
    <cfRule type="expression" dxfId="222" priority="108">
      <formula>$E$12="Nicht vorhanden"</formula>
    </cfRule>
  </conditionalFormatting>
  <conditionalFormatting sqref="M68:N69">
    <cfRule type="expression" dxfId="221" priority="89">
      <formula>rF1.CheckAxForceCalculation=TRUE</formula>
    </cfRule>
  </conditionalFormatting>
  <conditionalFormatting sqref="O139 O148:O150 O34:O38 O41:O45">
    <cfRule type="expression" dxfId="220" priority="1">
      <formula>rF1.CheckWallNotExisting=1</formula>
    </cfRule>
  </conditionalFormatting>
  <conditionalFormatting sqref="L34">
    <cfRule type="expression" dxfId="219" priority="106">
      <formula>$E$12="Nicht vorhanden"</formula>
    </cfRule>
  </conditionalFormatting>
  <conditionalFormatting sqref="P70">
    <cfRule type="expression" dxfId="218" priority="105">
      <formula>rF1.CheckAxForceCalculation=FALSE</formula>
    </cfRule>
  </conditionalFormatting>
  <conditionalFormatting sqref="M139 M41 M33:M39 M44:M45">
    <cfRule type="expression" dxfId="217" priority="69">
      <formula>OR(rF1.CheckFoundation=1,rF1.CheckBasePlate=1)</formula>
    </cfRule>
  </conditionalFormatting>
  <conditionalFormatting sqref="M68">
    <cfRule type="cellIs" dxfId="216" priority="107" operator="lessThan">
      <formula>rF1.WallAxForceDeadTop</formula>
    </cfRule>
  </conditionalFormatting>
  <conditionalFormatting sqref="M69">
    <cfRule type="cellIs" dxfId="215" priority="101" operator="lessThan">
      <formula>rF1.WallAxForceDeadTop</formula>
    </cfRule>
    <cfRule type="cellIs" dxfId="214" priority="102" operator="lessThan">
      <formula>rF1.WallAxForceDeadMiddleInput</formula>
    </cfRule>
  </conditionalFormatting>
  <conditionalFormatting sqref="N68">
    <cfRule type="cellIs" dxfId="213" priority="100" operator="lessThan">
      <formula>rF1.WallAxForceLiveTop</formula>
    </cfRule>
  </conditionalFormatting>
  <conditionalFormatting sqref="N69">
    <cfRule type="cellIs" dxfId="212" priority="90" operator="lessThan">
      <formula>rF1.WallAxForceLiveTop</formula>
    </cfRule>
    <cfRule type="cellIs" dxfId="211" priority="99" operator="lessThan">
      <formula>rF1.WallAxForceLiveMiddle</formula>
    </cfRule>
  </conditionalFormatting>
  <conditionalFormatting sqref="M53">
    <cfRule type="cellIs" dxfId="210" priority="94" operator="greaterThan">
      <formula>INDEX(rF1.SlabSpanParallel,1,1)</formula>
    </cfRule>
    <cfRule type="cellIs" dxfId="209" priority="98" operator="lessThan">
      <formula>rF1.MinInfluenceWidth01</formula>
    </cfRule>
  </conditionalFormatting>
  <conditionalFormatting sqref="N53">
    <cfRule type="cellIs" dxfId="208" priority="93" operator="greaterThan">
      <formula>INDEX(rF1.SlabSpanParallel,1,2)</formula>
    </cfRule>
    <cfRule type="cellIs" dxfId="207" priority="97" operator="lessThan">
      <formula>rF1.MinInfluenceWidth02</formula>
    </cfRule>
  </conditionalFormatting>
  <conditionalFormatting sqref="P51:P54">
    <cfRule type="expression" dxfId="206" priority="96">
      <formula>rF1.CheckSlabExisting04=0</formula>
    </cfRule>
  </conditionalFormatting>
  <conditionalFormatting sqref="O51:O54">
    <cfRule type="expression" dxfId="205" priority="95">
      <formula>rF1.CheckSlabExisting03=0</formula>
    </cfRule>
  </conditionalFormatting>
  <conditionalFormatting sqref="N42">
    <cfRule type="expression" dxfId="204" priority="92">
      <formula>rF1.CheckBendingMomentSlabTop=FALSE</formula>
    </cfRule>
  </conditionalFormatting>
  <conditionalFormatting sqref="N43">
    <cfRule type="expression" dxfId="203" priority="91">
      <formula>rF1.CheckBendingMomentSlabBottom=FALSE</formula>
    </cfRule>
  </conditionalFormatting>
  <conditionalFormatting sqref="K44:K47">
    <cfRule type="expression" dxfId="202" priority="88">
      <formula>$E$11="Nicht vorhanden"</formula>
    </cfRule>
  </conditionalFormatting>
  <conditionalFormatting sqref="K30:K31">
    <cfRule type="expression" dxfId="201" priority="87">
      <formula>$E$11="Nicht vorhanden"</formula>
    </cfRule>
  </conditionalFormatting>
  <conditionalFormatting sqref="K49:K55">
    <cfRule type="expression" dxfId="200" priority="86">
      <formula>$C$39="Nicht vorhanden"</formula>
    </cfRule>
  </conditionalFormatting>
  <conditionalFormatting sqref="K58:K59">
    <cfRule type="expression" dxfId="199" priority="85">
      <formula>$C$39="Nicht vorhanden"</formula>
    </cfRule>
  </conditionalFormatting>
  <conditionalFormatting sqref="K29">
    <cfRule type="expression" dxfId="198" priority="84">
      <formula>$E$11="Nicht vorhanden"</formula>
    </cfRule>
  </conditionalFormatting>
  <conditionalFormatting sqref="K89">
    <cfRule type="expression" dxfId="197" priority="83">
      <formula>$E$11="Nicht vorhanden"</formula>
    </cfRule>
  </conditionalFormatting>
  <conditionalFormatting sqref="K34">
    <cfRule type="expression" dxfId="196" priority="82">
      <formula>$E$11="Nicht vorhanden"</formula>
    </cfRule>
  </conditionalFormatting>
  <conditionalFormatting sqref="N89">
    <cfRule type="expression" dxfId="195" priority="81">
      <formula>$E$11="Nicht vorhanden"</formula>
    </cfRule>
  </conditionalFormatting>
  <conditionalFormatting sqref="K106">
    <cfRule type="expression" dxfId="194" priority="80">
      <formula>$E$11="Nicht vorhanden"</formula>
    </cfRule>
  </conditionalFormatting>
  <conditionalFormatting sqref="M43">
    <cfRule type="expression" dxfId="193" priority="79">
      <formula>OR(rF1.CheckFoundation=1,rF1.CheckBasePlate=1)</formula>
    </cfRule>
  </conditionalFormatting>
  <conditionalFormatting sqref="M79:O79 M81:O81 M83:O83 M85:O85 M87:O87 M76:O77">
    <cfRule type="expression" dxfId="192" priority="4">
      <formula>rF1.CheckWoodenSlabCalc</formula>
    </cfRule>
  </conditionalFormatting>
  <conditionalFormatting sqref="M80:O80 M82:O82 M86:O86">
    <cfRule type="expression" dxfId="191" priority="71">
      <formula>rF1.CheckWoodenSlabCalc</formula>
    </cfRule>
  </conditionalFormatting>
  <conditionalFormatting sqref="O46:O47">
    <cfRule type="expression" dxfId="190" priority="67">
      <formula>rF1.CheckWallNotExisting=1</formula>
    </cfRule>
  </conditionalFormatting>
  <conditionalFormatting sqref="M46:M47">
    <cfRule type="expression" dxfId="189" priority="68">
      <formula>OR(rF1.CheckFoundation=1,rF1.CheckBasePlate=1)</formula>
    </cfRule>
  </conditionalFormatting>
  <conditionalFormatting sqref="M44:M45 M47">
    <cfRule type="cellIs" dxfId="188" priority="103" operator="notBetween">
      <formula>rF1.MinBearingDepthTop01</formula>
      <formula>rF1.MaxBearingDepthTop01</formula>
    </cfRule>
  </conditionalFormatting>
  <conditionalFormatting sqref="O46">
    <cfRule type="cellIs" dxfId="187" priority="70" operator="greaterThan">
      <formula>INDEX(rF1.WallThickness,1,3)</formula>
    </cfRule>
  </conditionalFormatting>
  <conditionalFormatting sqref="O60 O62:O65">
    <cfRule type="expression" dxfId="186" priority="66">
      <formula>rF1.CheckSlabExisting03=0</formula>
    </cfRule>
  </conditionalFormatting>
  <conditionalFormatting sqref="P60 P62:P65">
    <cfRule type="expression" dxfId="185" priority="65">
      <formula>rF1.CheckSlabExisting04=0</formula>
    </cfRule>
  </conditionalFormatting>
  <conditionalFormatting sqref="P58:P59">
    <cfRule type="expression" dxfId="184" priority="64">
      <formula>rF1.CheckSlabExisting04=0</formula>
    </cfRule>
  </conditionalFormatting>
  <conditionalFormatting sqref="O58:O59">
    <cfRule type="expression" dxfId="183" priority="63">
      <formula>rF1.CheckSlabExisting03=0</formula>
    </cfRule>
  </conditionalFormatting>
  <conditionalFormatting sqref="M65">
    <cfRule type="cellIs" dxfId="182" priority="62" operator="greaterThan">
      <formula>rF1.MaximumDistanceLineLoad01</formula>
    </cfRule>
  </conditionalFormatting>
  <conditionalFormatting sqref="N65">
    <cfRule type="cellIs" dxfId="181" priority="61" operator="greaterThan">
      <formula>rF1.MaximumDistanceLineLoad02</formula>
    </cfRule>
  </conditionalFormatting>
  <conditionalFormatting sqref="O65">
    <cfRule type="cellIs" dxfId="180" priority="60" operator="greaterThan">
      <formula>rF1.MaximumDistanceLineLoad03</formula>
    </cfRule>
  </conditionalFormatting>
  <conditionalFormatting sqref="P65">
    <cfRule type="cellIs" dxfId="179" priority="59" operator="greaterThan">
      <formula>rF1.MaximumDistanceLineLoad04</formula>
    </cfRule>
  </conditionalFormatting>
  <conditionalFormatting sqref="N58:N60 P58:P60 N62:N65 P62:P65">
    <cfRule type="expression" dxfId="178" priority="57">
      <formula>rF1.CheckBendingMomentSlabTop</formula>
    </cfRule>
  </conditionalFormatting>
  <conditionalFormatting sqref="M58:M60 M62:M65 O58:O60 O62:O65">
    <cfRule type="expression" dxfId="177" priority="58">
      <formula>rF1.CheckBendingMomentSlabBottom</formula>
    </cfRule>
  </conditionalFormatting>
  <conditionalFormatting sqref="M58:M60 M62:M65 O58:O60 O62:O65">
    <cfRule type="expression" dxfId="176" priority="56">
      <formula>rF1.CheckWoodenSlab01</formula>
    </cfRule>
  </conditionalFormatting>
  <conditionalFormatting sqref="N58:N60 N62:N65 P58:P60 P62:P65">
    <cfRule type="expression" dxfId="175" priority="55">
      <formula>rF1.CheckWoodenSlab02</formula>
    </cfRule>
  </conditionalFormatting>
  <conditionalFormatting sqref="O133 O135 O139 O141 O144 O146 O148 O150 O152 O154 O161 O163 O165 O167 O169 O173 O156:O158">
    <cfRule type="expression" dxfId="174" priority="54">
      <formula>rF1.CheckWallNotExisting=1</formula>
    </cfRule>
  </conditionalFormatting>
  <conditionalFormatting sqref="M170:O170">
    <cfRule type="cellIs" dxfId="173" priority="53" operator="greaterThan">
      <formula>rP1.MaxSlendernessWall</formula>
    </cfRule>
  </conditionalFormatting>
  <conditionalFormatting sqref="P170">
    <cfRule type="expression" dxfId="172" priority="52">
      <formula>rF1.WallSlenderness02&gt;rP1.MaxSlendernessWall</formula>
    </cfRule>
  </conditionalFormatting>
  <conditionalFormatting sqref="O134 O136 O138 O140 O143 O145 O147 O149 O151 O153 O155 O160 O162 O164 O166 O168 O170">
    <cfRule type="expression" dxfId="171" priority="51">
      <formula>rF1.CheckWallNotExisting=1</formula>
    </cfRule>
  </conditionalFormatting>
  <conditionalFormatting sqref="O174 O176 O178 O180 O182 O188 O190 O193 O195 O184">
    <cfRule type="expression" dxfId="170" priority="50">
      <formula>rF1.CheckSlabExisting03=0</formula>
    </cfRule>
  </conditionalFormatting>
  <conditionalFormatting sqref="O173 O175 O177 O179 O181 O189 O192 O194 O183 O185">
    <cfRule type="expression" dxfId="169" priority="49">
      <formula>rF1.CheckSlabExisting03=0</formula>
    </cfRule>
  </conditionalFormatting>
  <conditionalFormatting sqref="P173 P175 P177 P179 P181 P189 P192 P194 P183 P185">
    <cfRule type="expression" dxfId="168" priority="48">
      <formula>rF1.CheckSlabExisting04=0</formula>
    </cfRule>
  </conditionalFormatting>
  <conditionalFormatting sqref="P174 P176 P178 P180 P182 P188 P190 P193 P195 P184">
    <cfRule type="expression" dxfId="167" priority="47">
      <formula>rF1.CheckSlabExisting04=0</formula>
    </cfRule>
  </conditionalFormatting>
  <conditionalFormatting sqref="M133 M135 M139 M141 M144 M146 M148 M150 M152 M154 M161 M163 M165 M167 M169 M156:M158">
    <cfRule type="expression" dxfId="166" priority="46">
      <formula>OR(rF1.CheckFoundation=1,rF1.CheckBasePlate=1)</formula>
    </cfRule>
  </conditionalFormatting>
  <conditionalFormatting sqref="M132 M134 M136 M138 M140 M143 M145 M147 M149 M151 M153 M155 M160 M164 M166 M170">
    <cfRule type="expression" dxfId="165" priority="45">
      <formula>OR(rF1.CheckFoundation=1,rF1.CheckBasePlate=1)</formula>
    </cfRule>
  </conditionalFormatting>
  <conditionalFormatting sqref="M205">
    <cfRule type="expression" dxfId="164" priority="44">
      <formula>rF1.CheckBendingMomentSlabTop</formula>
    </cfRule>
  </conditionalFormatting>
  <conditionalFormatting sqref="M206">
    <cfRule type="expression" dxfId="163" priority="43">
      <formula>rF1.CheckBendingMomentSlabTop</formula>
    </cfRule>
  </conditionalFormatting>
  <conditionalFormatting sqref="M209">
    <cfRule type="expression" dxfId="162" priority="42">
      <formula>rF1.CheckBendingMomentSlabBottom</formula>
    </cfRule>
  </conditionalFormatting>
  <conditionalFormatting sqref="M210">
    <cfRule type="expression" dxfId="161" priority="41">
      <formula>rF1.CheckBendingMomentSlabBottom</formula>
    </cfRule>
  </conditionalFormatting>
  <conditionalFormatting sqref="M212">
    <cfRule type="expression" dxfId="160" priority="40">
      <formula>AND(rF1.CheckBendingMomentSlabTop,rF1.CheckBendingMomentSlabBottom)</formula>
    </cfRule>
  </conditionalFormatting>
  <conditionalFormatting sqref="L262:M263">
    <cfRule type="expression" dxfId="159" priority="33">
      <formula>rF1.AxResistanceBottom&gt;=rF1.WallAxForceBottom</formula>
    </cfRule>
    <cfRule type="expression" dxfId="158" priority="34">
      <formula>rF1.AxResistanceBottom&lt;rF1.WallAxForceBottom</formula>
    </cfRule>
  </conditionalFormatting>
  <conditionalFormatting sqref="L130">
    <cfRule type="expression" dxfId="157" priority="21">
      <formula>rF1.CheckWoodenSlabCalc</formula>
    </cfRule>
  </conditionalFormatting>
  <conditionalFormatting sqref="L233:M233">
    <cfRule type="expression" dxfId="156" priority="26">
      <formula>rF1.FireResNN</formula>
    </cfRule>
    <cfRule type="expression" dxfId="155" priority="30">
      <formula>rF1.LoadFactorTopFire&lt;=1</formula>
    </cfRule>
  </conditionalFormatting>
  <conditionalFormatting sqref="L251:M251">
    <cfRule type="expression" dxfId="154" priority="7">
      <formula>rF1.FireResNN</formula>
    </cfRule>
    <cfRule type="expression" dxfId="153" priority="28">
      <formula>rF1.LoadFactorMiddleFire&lt;=1</formula>
    </cfRule>
  </conditionalFormatting>
  <conditionalFormatting sqref="L267:M267">
    <cfRule type="expression" dxfId="152" priority="8">
      <formula>rF1.FireResNN</formula>
    </cfRule>
    <cfRule type="expression" dxfId="151" priority="27">
      <formula>rF1.LoadFactorBottomFire&lt;=1</formula>
    </cfRule>
  </conditionalFormatting>
  <conditionalFormatting sqref="L246:M247">
    <cfRule type="expression" dxfId="150" priority="35">
      <formula>rF1.AxResistanceMiddle&lt;rF1.WallAxForceMiddle</formula>
    </cfRule>
    <cfRule type="expression" dxfId="149" priority="36">
      <formula>rF1.AxResistanceMiddle&gt;=rF1.WallAxForceMiddle</formula>
    </cfRule>
  </conditionalFormatting>
  <conditionalFormatting sqref="N44">
    <cfRule type="cellIs" dxfId="148" priority="25" operator="notBetween">
      <formula>rF1.MinBearingDepthTop02</formula>
      <formula>rF1.MaxBearingDepthTop02</formula>
    </cfRule>
  </conditionalFormatting>
  <conditionalFormatting sqref="N45">
    <cfRule type="cellIs" dxfId="147" priority="24" operator="notBetween">
      <formula>rF1.MinBearingDepthBottom02</formula>
      <formula>rF1.MaxBearingDepthBottom02</formula>
    </cfRule>
  </conditionalFormatting>
  <conditionalFormatting sqref="O70">
    <cfRule type="expression" dxfId="146" priority="23">
      <formula>rF1.CheckAxForceCalculation=FALSE</formula>
    </cfRule>
  </conditionalFormatting>
  <conditionalFormatting sqref="M40">
    <cfRule type="expression" dxfId="145" priority="22">
      <formula>OR(rF1.CheckFoundation=1,rF1.CheckBasePlate=1)</formula>
    </cfRule>
  </conditionalFormatting>
  <conditionalFormatting sqref="M162">
    <cfRule type="expression" dxfId="144" priority="39">
      <formula>rF1.CheckFoundation</formula>
    </cfRule>
  </conditionalFormatting>
  <conditionalFormatting sqref="L228:M229">
    <cfRule type="expression" dxfId="143" priority="37">
      <formula>rF1.AxResistanceTop&lt;rF1.WallAxForceTop</formula>
    </cfRule>
    <cfRule type="expression" dxfId="142" priority="38">
      <formula>rF1.AxResistanceTop&gt;=rF1.WallAxForceTop</formula>
    </cfRule>
  </conditionalFormatting>
  <conditionalFormatting sqref="L233:N233">
    <cfRule type="expression" dxfId="141" priority="31">
      <formula>rF1.LoadFactorTopFire&gt;1</formula>
    </cfRule>
  </conditionalFormatting>
  <conditionalFormatting sqref="L251:N251">
    <cfRule type="expression" dxfId="140" priority="29">
      <formula>rF1.LoadFactorMiddleFire&gt;1</formula>
    </cfRule>
  </conditionalFormatting>
  <conditionalFormatting sqref="L267:N267">
    <cfRule type="expression" dxfId="139" priority="32">
      <formula>rF1.LoadFactorBottomFire&gt;1</formula>
    </cfRule>
  </conditionalFormatting>
  <conditionalFormatting sqref="M81:M83">
    <cfRule type="expression" dxfId="138" priority="73">
      <formula>rF1.LoadFactorTop&lt;=1</formula>
    </cfRule>
    <cfRule type="expression" dxfId="137" priority="76">
      <formula>rF1.LoadFactorTop&gt;1</formula>
    </cfRule>
  </conditionalFormatting>
  <conditionalFormatting sqref="N81:N83">
    <cfRule type="expression" dxfId="136" priority="74">
      <formula>rF1.LoadFactorMiddle&lt;=1</formula>
    </cfRule>
    <cfRule type="expression" dxfId="135" priority="77">
      <formula>rF1.LoadFactorMiddle&gt;1</formula>
    </cfRule>
  </conditionalFormatting>
  <conditionalFormatting sqref="O81:O83">
    <cfRule type="expression" dxfId="134" priority="75">
      <formula>rF1.LoadFactorBottom&lt;=1</formula>
    </cfRule>
    <cfRule type="expression" dxfId="133" priority="78">
      <formula>rF1.LoadFactorBottom&gt;1</formula>
    </cfRule>
  </conditionalFormatting>
  <conditionalFormatting sqref="M87">
    <cfRule type="expression" dxfId="132" priority="18">
      <formula>rF1.LoadFactorTopFire&lt;=1</formula>
    </cfRule>
    <cfRule type="expression" dxfId="131" priority="72">
      <formula>rF1.LoadFactorTopFire&gt;1</formula>
    </cfRule>
  </conditionalFormatting>
  <conditionalFormatting sqref="N87">
    <cfRule type="expression" dxfId="130" priority="16">
      <formula>rF1.LoadFactorMiddleFire&lt;=1</formula>
    </cfRule>
    <cfRule type="expression" dxfId="129" priority="19">
      <formula>rF1.LoadFactorMiddleFire&gt;1</formula>
    </cfRule>
  </conditionalFormatting>
  <conditionalFormatting sqref="O87">
    <cfRule type="expression" dxfId="128" priority="17">
      <formula>rF1.LoadFactorBottomFire&lt;=1</formula>
    </cfRule>
    <cfRule type="expression" dxfId="127" priority="20">
      <formula>rF1.LoadFactorBottomFire&gt;1</formula>
    </cfRule>
  </conditionalFormatting>
  <conditionalFormatting sqref="K231 M231:Q231 M249 K267:Q267 M265 K232:Q248 K251:Q264 K250:M250 O249:Q250 K266:M266 O265:Q266 R132:R273 K130:Q230">
    <cfRule type="expression" dxfId="126" priority="6">
      <formula>rF1.CheckWoodenSlabCalc</formula>
    </cfRule>
  </conditionalFormatting>
  <conditionalFormatting sqref="O157">
    <cfRule type="expression" dxfId="125" priority="14">
      <formula>rF1.CheckWallNotExisting=1</formula>
    </cfRule>
  </conditionalFormatting>
  <conditionalFormatting sqref="M157">
    <cfRule type="expression" dxfId="124" priority="13">
      <formula>OR(rF1.CheckFoundation=1,rF1.CheckBasePlate=1)</formula>
    </cfRule>
  </conditionalFormatting>
  <conditionalFormatting sqref="K249">
    <cfRule type="expression" dxfId="123" priority="12">
      <formula>rF1.CheckWoodenSlabCalc</formula>
    </cfRule>
  </conditionalFormatting>
  <conditionalFormatting sqref="K265">
    <cfRule type="expression" dxfId="122" priority="11">
      <formula>rF1.CheckWoodenSlabCalc</formula>
    </cfRule>
  </conditionalFormatting>
  <conditionalFormatting sqref="N249:N250">
    <cfRule type="expression" dxfId="121" priority="10">
      <formula>rF1.CheckWoodenSlabCalc</formula>
    </cfRule>
  </conditionalFormatting>
  <conditionalFormatting sqref="N265:N266">
    <cfRule type="expression" dxfId="120" priority="9">
      <formula>rF1.CheckWoodenSlabCalc</formula>
    </cfRule>
  </conditionalFormatting>
  <conditionalFormatting sqref="R132:R273 K130:Q267">
    <cfRule type="expression" dxfId="119" priority="5">
      <formula>rF1.CheckShowDetails=FALSE</formula>
    </cfRule>
  </conditionalFormatting>
  <conditionalFormatting sqref="M87:O87">
    <cfRule type="expression" dxfId="118" priority="15">
      <formula>rF1.FireResNN</formula>
    </cfRule>
  </conditionalFormatting>
  <conditionalFormatting sqref="P44">
    <cfRule type="expression" dxfId="117" priority="3">
      <formula>rF1.CheckCantilever04</formula>
    </cfRule>
  </conditionalFormatting>
  <conditionalFormatting sqref="P45">
    <cfRule type="expression" dxfId="116" priority="2">
      <formula>rF1.CheckCantilever03</formula>
    </cfRule>
  </conditionalFormatting>
  <conditionalFormatting sqref="O45">
    <cfRule type="cellIs" dxfId="115" priority="104" operator="notBetween">
      <formula>rF1.MinBearingDepthBottom03</formula>
      <formula>rF1.MaxBearingDepthBottom03</formula>
    </cfRule>
  </conditionalFormatting>
  <dataValidations count="28">
    <dataValidation type="decimal" operator="greaterThan" allowBlank="1" showInputMessage="1" showErrorMessage="1" errorTitle="Eingabefehler" error="Die Wandlänge muss größer als 0 sein!" sqref="O36:O37 N36:N38 M36:M37" xr:uid="{00000000-0002-0000-0400-000000000000}">
      <formula1>0</formula1>
    </dataValidation>
    <dataValidation type="decimal" operator="greaterThan" allowBlank="1" showInputMessage="1" showErrorMessage="1" errorTitle="Eingabefehler" error="Die Deckenspannweite muss größer als 0 sein!" sqref="M51:P52" xr:uid="{00000000-0002-0000-0400-000001000000}">
      <formula1>0</formula1>
    </dataValidation>
    <dataValidation type="decimal" operator="greaterThan" allowBlank="1" showInputMessage="1" showErrorMessage="1" errorTitle="Eingabefehler" error="Die Deckendicke muss größer als 0 sein!" sqref="M54:P54" xr:uid="{00000000-0002-0000-0400-000002000000}">
      <formula1>0</formula1>
    </dataValidation>
    <dataValidation type="decimal" operator="greaterThanOrEqual" allowBlank="1" showErrorMessage="1" errorTitle="Eingabefehler" error="Die Normalkraft in Wandmitte muss größer oder gleich der Normalkraft im Wandkopf sein!" sqref="M68" xr:uid="{00000000-0002-0000-0400-000003000000}">
      <formula1>rF1.WallAxForceDeadTop</formula1>
    </dataValidation>
    <dataValidation type="decimal" operator="greaterThanOrEqual" allowBlank="1" showInputMessage="1" showErrorMessage="1" errorTitle="Input error" error="Loads must be grater or equal to axial force in wall middle!" sqref="M70" xr:uid="{00000000-0002-0000-0400-000004000000}">
      <formula1>rF1.WallAxForceDeadMiddleInput</formula1>
    </dataValidation>
    <dataValidation type="decimal" operator="greaterThanOrEqual" allowBlank="1" showInputMessage="1" showErrorMessage="1" errorTitle="Input error" error="Loads must be grater or equal to 0!" sqref="M67 M64:P64 M60:P60" xr:uid="{00000000-0002-0000-0400-000005000000}">
      <formula1>0</formula1>
    </dataValidation>
    <dataValidation type="whole" allowBlank="1" showInputMessage="1" showErrorMessage="1" errorTitle="Input error" error="Wall height must be greater than 0!" sqref="O41:O43 M41:N41" xr:uid="{00000000-0002-0000-0400-000006000000}">
      <formula1>0</formula1>
      <formula2>2</formula2>
    </dataValidation>
    <dataValidation operator="greaterThan" allowBlank="1" showInputMessage="1" showErrorMessage="1" sqref="O53:P53" xr:uid="{00000000-0002-0000-0400-000007000000}"/>
    <dataValidation type="decimal" allowBlank="1" showInputMessage="1" showErrorMessage="1" errorTitle="Eingabefehler" error="Die Einflussbreite muss größer als die Länge von Wand 2, sowie Wand 3 und kleiner als die Deckenspannweite parallel zur Wand sein!" sqref="N53" xr:uid="{00000000-0002-0000-0400-000008000000}">
      <formula1>rF1.MinInfluenceWidth02</formula1>
      <formula2>INDEX(rF1.SlabSpanParallel,1,2)</formula2>
    </dataValidation>
    <dataValidation type="decimal" allowBlank="1" showInputMessage="1" showErrorMessage="1" errorTitle="Eingabefehler" error="Die Einflussbreite muss größer als die Länge von Wand 1, sowie Wand 2 und kleiner als die Deckenspannweite parallel zur Wand sein!" sqref="M53" xr:uid="{00000000-0002-0000-0400-000009000000}">
      <formula1>rF1.MinInfluenceWidth01</formula1>
      <formula2>INDEX(rF1.SlabSpanParallel,1,1)</formula2>
    </dataValidation>
    <dataValidation type="decimal" operator="greaterThanOrEqual" allowBlank="1" showErrorMessage="1" errorTitle="Eingabefehler" error="Die Normalkraft in Wandmitte muss größer oder gleich der Normalkraft im Wandkopf sein!" sqref="N68" xr:uid="{00000000-0002-0000-0400-00000A000000}">
      <formula1>rF1.WallAxForceLiveTop</formula1>
    </dataValidation>
    <dataValidation type="decimal" operator="greaterThanOrEqual" allowBlank="1" showErrorMessage="1" errorTitle="Eingabefehler" error="Die Normalkraft im Wandfuß muss größer oder gleich der Normalkraft in Wandmitte sein!" sqref="N69" xr:uid="{00000000-0002-0000-0400-00000B000000}">
      <formula1>rF1.WallAxForceLiveMiddle</formula1>
    </dataValidation>
    <dataValidation type="decimal" operator="greaterThanOrEqual" allowBlank="1" showInputMessage="1" showErrorMessage="1" errorTitle="Eingabefehler" error="Die Normalkraft im Wandfuß muss größer oder gleich der Normalkraft in Wandmitte sein!" sqref="M69" xr:uid="{00000000-0002-0000-0400-00000C000000}">
      <formula1>rF1.WallAxForceDeadMiddleInput</formula1>
    </dataValidation>
    <dataValidation type="decimal" allowBlank="1" showInputMessage="1" showErrorMessage="1" errorTitle="Eingabefehler" error="Die Ausmitte muss zwischen -t/2 und t/2 betragen!" sqref="N42:N43" xr:uid="{00000000-0002-0000-0400-00000D000000}">
      <formula1>-rF1.WallThickness02/2</formula1>
      <formula2>rF1.WallThickness02/2</formula2>
    </dataValidation>
    <dataValidation type="decimal" allowBlank="1" showInputMessage="1" showErrorMessage="1" errorTitle="Eingabefehler" error="Die Position der Linienlast muss innerhalb der Deckengrenzen liegen!" sqref="M65" xr:uid="{00000000-0002-0000-0400-00000E000000}">
      <formula1>0</formula1>
      <formula2>rF1.MaximumDistanceLineLoad01</formula2>
    </dataValidation>
    <dataValidation type="decimal" allowBlank="1" showInputMessage="1" showErrorMessage="1" errorTitle="Eingabefehler" error="Die Position der Linienlast muss innerhalb der Deckengrenzen liegen!" sqref="N65" xr:uid="{00000000-0002-0000-0400-00000F000000}">
      <formula1>0</formula1>
      <formula2>rF1.MaximumDistanceLineLoad02</formula2>
    </dataValidation>
    <dataValidation type="decimal" allowBlank="1" showInputMessage="1" showErrorMessage="1" errorTitle="Eingabefehler" error="Die Position der Linienlast muss innerhalb der Deckengrenzen liegen!" sqref="O65" xr:uid="{00000000-0002-0000-0400-000010000000}">
      <formula1>0</formula1>
      <formula2>rF1.MaximumDistanceLineLoad03</formula2>
    </dataValidation>
    <dataValidation type="decimal" allowBlank="1" showInputMessage="1" showErrorMessage="1" errorTitle="Eingabefehler" error="Die Position der Linienlast muss innerhalb der Deckengrenzen liegen!" sqref="P65" xr:uid="{00000000-0002-0000-0400-000011000000}">
      <formula1>0</formula1>
      <formula2>rF1.MaximumDistanceLineLoad04</formula2>
    </dataValidation>
    <dataValidation type="decimal" allowBlank="1" showInputMessage="1" showErrorMessage="1" errorTitle="Eingabefehler" error="Der Abstand muss größer oder gleich 0 und kleiner als die Dicke von Wand 2, sowie Wand 3 sein!" sqref="O44" xr:uid="{00000000-0002-0000-0400-000012000000}">
      <formula1>0</formula1>
      <formula2>rF1.MaxBearingDepthTop02</formula2>
    </dataValidation>
    <dataValidation type="decimal" operator="greaterThan" allowBlank="1" showInputMessage="1" showErrorMessage="1" errorTitle="Eingabefehler" error="Die Wandhöhe muss größer als 0 sein!" sqref="M35:O35" xr:uid="{00000000-0002-0000-0400-000013000000}">
      <formula1>0</formula1>
    </dataValidation>
    <dataValidation type="decimal" operator="greaterThanOrEqual" allowBlank="1" showInputMessage="1" showErrorMessage="1" errorTitle="Eingabefehler" error="Die Belastung muss größer oder gleich 0 sein!" sqref="M58:P59 M62:P63" xr:uid="{00000000-0002-0000-0400-000014000000}">
      <formula1>0</formula1>
    </dataValidation>
    <dataValidation allowBlank="1" showInputMessage="1" showErrorMessage="1" errorTitle="Input error" error="Wall height must be greater than 0!" sqref="M42:M43" xr:uid="{00000000-0002-0000-0400-000015000000}"/>
    <dataValidation type="decimal" allowBlank="1" showInputMessage="1" showErrorMessage="1" errorTitle="Eingabefehler" error="Der Abstand muss größer oder gleich 0 und kleiner als die Dicke von Wand 1 sein!" sqref="M45" xr:uid="{00000000-0002-0000-0400-000016000000}">
      <formula1>0</formula1>
      <formula2>INDEX(rF1.WallThickness,1,1)</formula2>
    </dataValidation>
    <dataValidation operator="greaterThanOrEqual" allowBlank="1" showInputMessage="1" showErrorMessage="1" errorTitle="Eingabefehler" error="Die Lasten müßen größer oder gleich 0 sein!" sqref="M72" xr:uid="{00000000-0002-0000-0400-000017000000}"/>
    <dataValidation operator="greaterThan" allowBlank="1" showInputMessage="1" showErrorMessage="1" errorTitle="Eingabefehler" error="Die Wandlänge muss größer als 0 sein!" sqref="O38 M38" xr:uid="{00000000-0002-0000-0400-000018000000}"/>
    <dataValidation type="decimal" allowBlank="1" showInputMessage="1" showErrorMessage="1" errorTitle="Eingabefehler" error="Der Abstand muss größer oder gleich der minimalen Auflagertiefe (siehe Manual) und kleiner als die Dicke von Wand 1 sein!" sqref="M44" xr:uid="{00000000-0002-0000-0400-000019000000}">
      <formula1>0</formula1>
      <formula2>rF1.MaxBearingDepthTop01</formula2>
    </dataValidation>
    <dataValidation type="decimal" allowBlank="1" showInputMessage="1" showErrorMessage="1" errorTitle="Eingabefehler" error="Der Abstand muss größer oder gleich der minimalen Auflagertiefe (siehe Manual) und kleiner als die Dicke von Wand 2 sein!" sqref="N44:N45" xr:uid="{00000000-0002-0000-0400-00001A000000}">
      <formula1>0</formula1>
      <formula2>rF1.MaxBearingDepthBottom02</formula2>
    </dataValidation>
    <dataValidation type="decimal" allowBlank="1" showInputMessage="1" showErrorMessage="1" errorTitle="Eingabefehler" error="Der Abstand muss größer oder gleich der minimalen Auflagertiefe (siehe Manual) und kleiner als die Dicke von Wand 3 sein!" sqref="O45" xr:uid="{00000000-0002-0000-0400-00001B000000}">
      <formula1>0</formula1>
      <formula2>rF1.MaxBearingDepthBottom03</formula2>
    </dataValidation>
  </dataValidations>
  <printOptions horizontalCentered="1" verticalCentered="1"/>
  <pageMargins left="0.98425196850393704" right="0.98425196850393704" top="0.70866141732283472" bottom="0.47244094488188981" header="0.31496062992125984" footer="0.19685039370078741"/>
  <pageSetup paperSize="9" scale="64" fitToHeight="0" orientation="landscape" horizontalDpi="4294967293" verticalDpi="1200" r:id="rId1"/>
  <headerFooter>
    <oddHeader>&amp;L&amp;"-,Fett"&amp;K000000
&amp;14N&amp;YRd&amp;Y-Pro Tool&amp;R&amp;G</oddHeader>
    <oddFooter>&amp;R&amp;P von &amp;N</oddFooter>
  </headerFooter>
  <rowBreaks count="5" manualBreakCount="5">
    <brk id="55" min="10" max="16" man="1"/>
    <brk id="87" min="10" max="16" man="1"/>
    <brk id="128" min="10" max="16" man="1"/>
    <brk id="170" min="10" max="16" man="1"/>
    <brk id="216" min="10" max="16"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6625" r:id="rId5" name="Drop Down 1">
              <controlPr defaultSize="0" autoLine="0" autoPict="0">
                <anchor moveWithCells="1">
                  <from>
                    <xdr:col>12</xdr:col>
                    <xdr:colOff>38100</xdr:colOff>
                    <xdr:row>29</xdr:row>
                    <xdr:rowOff>38100</xdr:rowOff>
                  </from>
                  <to>
                    <xdr:col>12</xdr:col>
                    <xdr:colOff>2286000</xdr:colOff>
                    <xdr:row>30</xdr:row>
                    <xdr:rowOff>0</xdr:rowOff>
                  </to>
                </anchor>
              </controlPr>
            </control>
          </mc:Choice>
        </mc:AlternateContent>
        <mc:AlternateContent xmlns:mc="http://schemas.openxmlformats.org/markup-compatibility/2006">
          <mc:Choice Requires="x14">
            <control shapeId="26626" r:id="rId6" name="Drop Down 2">
              <controlPr defaultSize="0" autoLine="0" autoPict="0">
                <anchor moveWithCells="1">
                  <from>
                    <xdr:col>13</xdr:col>
                    <xdr:colOff>47625</xdr:colOff>
                    <xdr:row>29</xdr:row>
                    <xdr:rowOff>38100</xdr:rowOff>
                  </from>
                  <to>
                    <xdr:col>13</xdr:col>
                    <xdr:colOff>2286000</xdr:colOff>
                    <xdr:row>30</xdr:row>
                    <xdr:rowOff>0</xdr:rowOff>
                  </to>
                </anchor>
              </controlPr>
            </control>
          </mc:Choice>
        </mc:AlternateContent>
        <mc:AlternateContent xmlns:mc="http://schemas.openxmlformats.org/markup-compatibility/2006">
          <mc:Choice Requires="x14">
            <control shapeId="26627" r:id="rId7" name="Drop Down 3">
              <controlPr defaultSize="0" autoLine="0" autoPict="0">
                <anchor moveWithCells="1">
                  <from>
                    <xdr:col>14</xdr:col>
                    <xdr:colOff>47625</xdr:colOff>
                    <xdr:row>29</xdr:row>
                    <xdr:rowOff>38100</xdr:rowOff>
                  </from>
                  <to>
                    <xdr:col>14</xdr:col>
                    <xdr:colOff>2286000</xdr:colOff>
                    <xdr:row>30</xdr:row>
                    <xdr:rowOff>0</xdr:rowOff>
                  </to>
                </anchor>
              </controlPr>
            </control>
          </mc:Choice>
        </mc:AlternateContent>
        <mc:AlternateContent xmlns:mc="http://schemas.openxmlformats.org/markup-compatibility/2006">
          <mc:Choice Requires="x14">
            <control shapeId="26628" r:id="rId8" name="Drop Down 4">
              <controlPr defaultSize="0" autoLine="0" autoPict="0">
                <anchor moveWithCells="1">
                  <from>
                    <xdr:col>13</xdr:col>
                    <xdr:colOff>47625</xdr:colOff>
                    <xdr:row>38</xdr:row>
                    <xdr:rowOff>19050</xdr:rowOff>
                  </from>
                  <to>
                    <xdr:col>13</xdr:col>
                    <xdr:colOff>2286000</xdr:colOff>
                    <xdr:row>39</xdr:row>
                    <xdr:rowOff>0</xdr:rowOff>
                  </to>
                </anchor>
              </controlPr>
            </control>
          </mc:Choice>
        </mc:AlternateContent>
        <mc:AlternateContent xmlns:mc="http://schemas.openxmlformats.org/markup-compatibility/2006">
          <mc:Choice Requires="x14">
            <control shapeId="26629" r:id="rId9" name="Drop Down 5">
              <controlPr defaultSize="0" autoLine="0" autoPict="0">
                <anchor moveWithCells="1">
                  <from>
                    <xdr:col>14</xdr:col>
                    <xdr:colOff>47625</xdr:colOff>
                    <xdr:row>38</xdr:row>
                    <xdr:rowOff>19050</xdr:rowOff>
                  </from>
                  <to>
                    <xdr:col>14</xdr:col>
                    <xdr:colOff>2286000</xdr:colOff>
                    <xdr:row>39</xdr:row>
                    <xdr:rowOff>0</xdr:rowOff>
                  </to>
                </anchor>
              </controlPr>
            </control>
          </mc:Choice>
        </mc:AlternateContent>
        <mc:AlternateContent xmlns:mc="http://schemas.openxmlformats.org/markup-compatibility/2006">
          <mc:Choice Requires="x14">
            <control shapeId="26630" r:id="rId10" name="Drop Down 6">
              <controlPr defaultSize="0" autoLine="0" autoPict="0">
                <anchor moveWithCells="1">
                  <from>
                    <xdr:col>12</xdr:col>
                    <xdr:colOff>47625</xdr:colOff>
                    <xdr:row>48</xdr:row>
                    <xdr:rowOff>19050</xdr:rowOff>
                  </from>
                  <to>
                    <xdr:col>12</xdr:col>
                    <xdr:colOff>2286000</xdr:colOff>
                    <xdr:row>49</xdr:row>
                    <xdr:rowOff>0</xdr:rowOff>
                  </to>
                </anchor>
              </controlPr>
            </control>
          </mc:Choice>
        </mc:AlternateContent>
        <mc:AlternateContent xmlns:mc="http://schemas.openxmlformats.org/markup-compatibility/2006">
          <mc:Choice Requires="x14">
            <control shapeId="26631" r:id="rId11" name="Drop Down 7">
              <controlPr defaultSize="0" autoLine="0" autoPict="0">
                <anchor moveWithCells="1">
                  <from>
                    <xdr:col>12</xdr:col>
                    <xdr:colOff>47625</xdr:colOff>
                    <xdr:row>49</xdr:row>
                    <xdr:rowOff>19050</xdr:rowOff>
                  </from>
                  <to>
                    <xdr:col>12</xdr:col>
                    <xdr:colOff>2286000</xdr:colOff>
                    <xdr:row>50</xdr:row>
                    <xdr:rowOff>0</xdr:rowOff>
                  </to>
                </anchor>
              </controlPr>
            </control>
          </mc:Choice>
        </mc:AlternateContent>
        <mc:AlternateContent xmlns:mc="http://schemas.openxmlformats.org/markup-compatibility/2006">
          <mc:Choice Requires="x14">
            <control shapeId="26632" r:id="rId12" name="Drop Down 8">
              <controlPr defaultSize="0" autoLine="0" autoPict="0">
                <anchor moveWithCells="1">
                  <from>
                    <xdr:col>12</xdr:col>
                    <xdr:colOff>47625</xdr:colOff>
                    <xdr:row>54</xdr:row>
                    <xdr:rowOff>9525</xdr:rowOff>
                  </from>
                  <to>
                    <xdr:col>12</xdr:col>
                    <xdr:colOff>2286000</xdr:colOff>
                    <xdr:row>54</xdr:row>
                    <xdr:rowOff>171450</xdr:rowOff>
                  </to>
                </anchor>
              </controlPr>
            </control>
          </mc:Choice>
        </mc:AlternateContent>
        <mc:AlternateContent xmlns:mc="http://schemas.openxmlformats.org/markup-compatibility/2006">
          <mc:Choice Requires="x14">
            <control shapeId="26633" r:id="rId13" name="Drop Down 9">
              <controlPr defaultSize="0" autoLine="0" autoPict="0">
                <anchor moveWithCells="1">
                  <from>
                    <xdr:col>13</xdr:col>
                    <xdr:colOff>47625</xdr:colOff>
                    <xdr:row>54</xdr:row>
                    <xdr:rowOff>9525</xdr:rowOff>
                  </from>
                  <to>
                    <xdr:col>13</xdr:col>
                    <xdr:colOff>2286000</xdr:colOff>
                    <xdr:row>54</xdr:row>
                    <xdr:rowOff>171450</xdr:rowOff>
                  </to>
                </anchor>
              </controlPr>
            </control>
          </mc:Choice>
        </mc:AlternateContent>
        <mc:AlternateContent xmlns:mc="http://schemas.openxmlformats.org/markup-compatibility/2006">
          <mc:Choice Requires="x14">
            <control shapeId="26634" r:id="rId14" name="Drop Down 10">
              <controlPr defaultSize="0" autoLine="0" autoPict="0">
                <anchor moveWithCells="1">
                  <from>
                    <xdr:col>14</xdr:col>
                    <xdr:colOff>47625</xdr:colOff>
                    <xdr:row>54</xdr:row>
                    <xdr:rowOff>9525</xdr:rowOff>
                  </from>
                  <to>
                    <xdr:col>14</xdr:col>
                    <xdr:colOff>2286000</xdr:colOff>
                    <xdr:row>54</xdr:row>
                    <xdr:rowOff>171450</xdr:rowOff>
                  </to>
                </anchor>
              </controlPr>
            </control>
          </mc:Choice>
        </mc:AlternateContent>
        <mc:AlternateContent xmlns:mc="http://schemas.openxmlformats.org/markup-compatibility/2006">
          <mc:Choice Requires="x14">
            <control shapeId="26635" r:id="rId15" name="Drop Down 11">
              <controlPr defaultSize="0" autoLine="0" autoPict="0">
                <anchor moveWithCells="1">
                  <from>
                    <xdr:col>15</xdr:col>
                    <xdr:colOff>47625</xdr:colOff>
                    <xdr:row>54</xdr:row>
                    <xdr:rowOff>9525</xdr:rowOff>
                  </from>
                  <to>
                    <xdr:col>15</xdr:col>
                    <xdr:colOff>2286000</xdr:colOff>
                    <xdr:row>54</xdr:row>
                    <xdr:rowOff>171450</xdr:rowOff>
                  </to>
                </anchor>
              </controlPr>
            </control>
          </mc:Choice>
        </mc:AlternateContent>
        <mc:AlternateContent xmlns:mc="http://schemas.openxmlformats.org/markup-compatibility/2006">
          <mc:Choice Requires="x14">
            <control shapeId="26636" r:id="rId16" name="Drop Down 12">
              <controlPr defaultSize="0" autoLine="0" autoPict="0">
                <anchor moveWithCells="1">
                  <from>
                    <xdr:col>13</xdr:col>
                    <xdr:colOff>47625</xdr:colOff>
                    <xdr:row>48</xdr:row>
                    <xdr:rowOff>19050</xdr:rowOff>
                  </from>
                  <to>
                    <xdr:col>13</xdr:col>
                    <xdr:colOff>2286000</xdr:colOff>
                    <xdr:row>49</xdr:row>
                    <xdr:rowOff>0</xdr:rowOff>
                  </to>
                </anchor>
              </controlPr>
            </control>
          </mc:Choice>
        </mc:AlternateContent>
        <mc:AlternateContent xmlns:mc="http://schemas.openxmlformats.org/markup-compatibility/2006">
          <mc:Choice Requires="x14">
            <control shapeId="26637" r:id="rId17" name="Drop Down 13">
              <controlPr defaultSize="0" autoLine="0" autoPict="0">
                <anchor moveWithCells="1">
                  <from>
                    <xdr:col>14</xdr:col>
                    <xdr:colOff>47625</xdr:colOff>
                    <xdr:row>48</xdr:row>
                    <xdr:rowOff>19050</xdr:rowOff>
                  </from>
                  <to>
                    <xdr:col>14</xdr:col>
                    <xdr:colOff>2286000</xdr:colOff>
                    <xdr:row>49</xdr:row>
                    <xdr:rowOff>0</xdr:rowOff>
                  </to>
                </anchor>
              </controlPr>
            </control>
          </mc:Choice>
        </mc:AlternateContent>
        <mc:AlternateContent xmlns:mc="http://schemas.openxmlformats.org/markup-compatibility/2006">
          <mc:Choice Requires="x14">
            <control shapeId="26638" r:id="rId18" name="Drop Down 14">
              <controlPr defaultSize="0" autoLine="0" autoPict="0">
                <anchor moveWithCells="1">
                  <from>
                    <xdr:col>15</xdr:col>
                    <xdr:colOff>47625</xdr:colOff>
                    <xdr:row>48</xdr:row>
                    <xdr:rowOff>19050</xdr:rowOff>
                  </from>
                  <to>
                    <xdr:col>15</xdr:col>
                    <xdr:colOff>2286000</xdr:colOff>
                    <xdr:row>49</xdr:row>
                    <xdr:rowOff>0</xdr:rowOff>
                  </to>
                </anchor>
              </controlPr>
            </control>
          </mc:Choice>
        </mc:AlternateContent>
        <mc:AlternateContent xmlns:mc="http://schemas.openxmlformats.org/markup-compatibility/2006">
          <mc:Choice Requires="x14">
            <control shapeId="26639" r:id="rId19" name="Drop Down 15">
              <controlPr defaultSize="0" autoLine="0" autoPict="0">
                <anchor moveWithCells="1">
                  <from>
                    <xdr:col>13</xdr:col>
                    <xdr:colOff>47625</xdr:colOff>
                    <xdr:row>49</xdr:row>
                    <xdr:rowOff>19050</xdr:rowOff>
                  </from>
                  <to>
                    <xdr:col>13</xdr:col>
                    <xdr:colOff>2286000</xdr:colOff>
                    <xdr:row>50</xdr:row>
                    <xdr:rowOff>0</xdr:rowOff>
                  </to>
                </anchor>
              </controlPr>
            </control>
          </mc:Choice>
        </mc:AlternateContent>
        <mc:AlternateContent xmlns:mc="http://schemas.openxmlformats.org/markup-compatibility/2006">
          <mc:Choice Requires="x14">
            <control shapeId="26640" r:id="rId20" name="Drop Down 16">
              <controlPr defaultSize="0" autoLine="0" autoPict="0">
                <anchor moveWithCells="1">
                  <from>
                    <xdr:col>14</xdr:col>
                    <xdr:colOff>47625</xdr:colOff>
                    <xdr:row>49</xdr:row>
                    <xdr:rowOff>19050</xdr:rowOff>
                  </from>
                  <to>
                    <xdr:col>14</xdr:col>
                    <xdr:colOff>2286000</xdr:colOff>
                    <xdr:row>50</xdr:row>
                    <xdr:rowOff>0</xdr:rowOff>
                  </to>
                </anchor>
              </controlPr>
            </control>
          </mc:Choice>
        </mc:AlternateContent>
        <mc:AlternateContent xmlns:mc="http://schemas.openxmlformats.org/markup-compatibility/2006">
          <mc:Choice Requires="x14">
            <control shapeId="26641" r:id="rId21" name="Drop Down 17">
              <controlPr defaultSize="0" autoLine="0" autoPict="0">
                <anchor moveWithCells="1">
                  <from>
                    <xdr:col>15</xdr:col>
                    <xdr:colOff>47625</xdr:colOff>
                    <xdr:row>49</xdr:row>
                    <xdr:rowOff>19050</xdr:rowOff>
                  </from>
                  <to>
                    <xdr:col>15</xdr:col>
                    <xdr:colOff>2286000</xdr:colOff>
                    <xdr:row>50</xdr:row>
                    <xdr:rowOff>0</xdr:rowOff>
                  </to>
                </anchor>
              </controlPr>
            </control>
          </mc:Choice>
        </mc:AlternateContent>
        <mc:AlternateContent xmlns:mc="http://schemas.openxmlformats.org/markup-compatibility/2006">
          <mc:Choice Requires="x14">
            <control shapeId="26642" r:id="rId22" name="Drop Down 18">
              <controlPr defaultSize="0" autoLine="0" autoPict="0">
                <anchor moveWithCells="1">
                  <from>
                    <xdr:col>12</xdr:col>
                    <xdr:colOff>38100</xdr:colOff>
                    <xdr:row>30</xdr:row>
                    <xdr:rowOff>38100</xdr:rowOff>
                  </from>
                  <to>
                    <xdr:col>12</xdr:col>
                    <xdr:colOff>2286000</xdr:colOff>
                    <xdr:row>31</xdr:row>
                    <xdr:rowOff>0</xdr:rowOff>
                  </to>
                </anchor>
              </controlPr>
            </control>
          </mc:Choice>
        </mc:AlternateContent>
        <mc:AlternateContent xmlns:mc="http://schemas.openxmlformats.org/markup-compatibility/2006">
          <mc:Choice Requires="x14">
            <control shapeId="26643" r:id="rId23" name="Drop Down 19">
              <controlPr defaultSize="0" autoLine="0" autoPict="0">
                <anchor moveWithCells="1">
                  <from>
                    <xdr:col>12</xdr:col>
                    <xdr:colOff>38100</xdr:colOff>
                    <xdr:row>28</xdr:row>
                    <xdr:rowOff>38100</xdr:rowOff>
                  </from>
                  <to>
                    <xdr:col>12</xdr:col>
                    <xdr:colOff>2286000</xdr:colOff>
                    <xdr:row>28</xdr:row>
                    <xdr:rowOff>200025</xdr:rowOff>
                  </to>
                </anchor>
              </controlPr>
            </control>
          </mc:Choice>
        </mc:AlternateContent>
        <mc:AlternateContent xmlns:mc="http://schemas.openxmlformats.org/markup-compatibility/2006">
          <mc:Choice Requires="x14">
            <control shapeId="26644" r:id="rId24" name="Drop Down 20">
              <controlPr defaultSize="0" autoLine="0" autoPict="0">
                <anchor moveWithCells="1">
                  <from>
                    <xdr:col>13</xdr:col>
                    <xdr:colOff>47625</xdr:colOff>
                    <xdr:row>28</xdr:row>
                    <xdr:rowOff>38100</xdr:rowOff>
                  </from>
                  <to>
                    <xdr:col>13</xdr:col>
                    <xdr:colOff>2286000</xdr:colOff>
                    <xdr:row>28</xdr:row>
                    <xdr:rowOff>200025</xdr:rowOff>
                  </to>
                </anchor>
              </controlPr>
            </control>
          </mc:Choice>
        </mc:AlternateContent>
        <mc:AlternateContent xmlns:mc="http://schemas.openxmlformats.org/markup-compatibility/2006">
          <mc:Choice Requires="x14">
            <control shapeId="26645" r:id="rId25" name="Drop Down 21">
              <controlPr defaultSize="0" autoLine="0" autoPict="0">
                <anchor moveWithCells="1">
                  <from>
                    <xdr:col>14</xdr:col>
                    <xdr:colOff>47625</xdr:colOff>
                    <xdr:row>28</xdr:row>
                    <xdr:rowOff>38100</xdr:rowOff>
                  </from>
                  <to>
                    <xdr:col>14</xdr:col>
                    <xdr:colOff>2286000</xdr:colOff>
                    <xdr:row>28</xdr:row>
                    <xdr:rowOff>200025</xdr:rowOff>
                  </to>
                </anchor>
              </controlPr>
            </control>
          </mc:Choice>
        </mc:AlternateContent>
        <mc:AlternateContent xmlns:mc="http://schemas.openxmlformats.org/markup-compatibility/2006">
          <mc:Choice Requires="x14">
            <control shapeId="26646" r:id="rId26" name="Check Box 22">
              <controlPr defaultSize="0" autoFill="0" autoLine="0" autoPict="0" altText="N in Wandmitt und -fuß automatisch berechnen">
                <anchor moveWithCells="1">
                  <from>
                    <xdr:col>12</xdr:col>
                    <xdr:colOff>57150</xdr:colOff>
                    <xdr:row>69</xdr:row>
                    <xdr:rowOff>0</xdr:rowOff>
                  </from>
                  <to>
                    <xdr:col>13</xdr:col>
                    <xdr:colOff>1438275</xdr:colOff>
                    <xdr:row>70</xdr:row>
                    <xdr:rowOff>9525</xdr:rowOff>
                  </to>
                </anchor>
              </controlPr>
            </control>
          </mc:Choice>
        </mc:AlternateContent>
        <mc:AlternateContent xmlns:mc="http://schemas.openxmlformats.org/markup-compatibility/2006">
          <mc:Choice Requires="x14">
            <control shapeId="26647" r:id="rId27" name="Drop Down 23">
              <controlPr defaultSize="0" autoLine="0" autoPict="0">
                <anchor moveWithCells="1">
                  <from>
                    <xdr:col>13</xdr:col>
                    <xdr:colOff>47625</xdr:colOff>
                    <xdr:row>40</xdr:row>
                    <xdr:rowOff>19050</xdr:rowOff>
                  </from>
                  <to>
                    <xdr:col>13</xdr:col>
                    <xdr:colOff>2286000</xdr:colOff>
                    <xdr:row>41</xdr:row>
                    <xdr:rowOff>0</xdr:rowOff>
                  </to>
                </anchor>
              </controlPr>
            </control>
          </mc:Choice>
        </mc:AlternateContent>
        <mc:AlternateContent xmlns:mc="http://schemas.openxmlformats.org/markup-compatibility/2006">
          <mc:Choice Requires="x14">
            <control shapeId="26648" r:id="rId28" name="Check Box 24">
              <controlPr defaultSize="0" autoFill="0" autoLine="0" autoPict="0">
                <anchor moveWithCells="1">
                  <from>
                    <xdr:col>10</xdr:col>
                    <xdr:colOff>2847975</xdr:colOff>
                    <xdr:row>40</xdr:row>
                    <xdr:rowOff>171450</xdr:rowOff>
                  </from>
                  <to>
                    <xdr:col>11</xdr:col>
                    <xdr:colOff>0</xdr:colOff>
                    <xdr:row>41</xdr:row>
                    <xdr:rowOff>190500</xdr:rowOff>
                  </to>
                </anchor>
              </controlPr>
            </control>
          </mc:Choice>
        </mc:AlternateContent>
        <mc:AlternateContent xmlns:mc="http://schemas.openxmlformats.org/markup-compatibility/2006">
          <mc:Choice Requires="x14">
            <control shapeId="26649" r:id="rId29" name="Check Box 25">
              <controlPr defaultSize="0" autoFill="0" autoLine="0" autoPict="0">
                <anchor moveWithCells="1">
                  <from>
                    <xdr:col>10</xdr:col>
                    <xdr:colOff>2847975</xdr:colOff>
                    <xdr:row>42</xdr:row>
                    <xdr:rowOff>0</xdr:rowOff>
                  </from>
                  <to>
                    <xdr:col>11</xdr:col>
                    <xdr:colOff>0</xdr:colOff>
                    <xdr:row>43</xdr:row>
                    <xdr:rowOff>0</xdr:rowOff>
                  </to>
                </anchor>
              </controlPr>
            </control>
          </mc:Choice>
        </mc:AlternateContent>
        <mc:AlternateContent xmlns:mc="http://schemas.openxmlformats.org/markup-compatibility/2006">
          <mc:Choice Requires="x14">
            <control shapeId="26650" r:id="rId30" name="Check Box 26">
              <controlPr defaultSize="0" autoFill="0" autoLine="0" autoPict="0">
                <anchor moveWithCells="1">
                  <from>
                    <xdr:col>10</xdr:col>
                    <xdr:colOff>2847975</xdr:colOff>
                    <xdr:row>40</xdr:row>
                    <xdr:rowOff>171450</xdr:rowOff>
                  </from>
                  <to>
                    <xdr:col>11</xdr:col>
                    <xdr:colOff>0</xdr:colOff>
                    <xdr:row>41</xdr:row>
                    <xdr:rowOff>200025</xdr:rowOff>
                  </to>
                </anchor>
              </controlPr>
            </control>
          </mc:Choice>
        </mc:AlternateContent>
        <mc:AlternateContent xmlns:mc="http://schemas.openxmlformats.org/markup-compatibility/2006">
          <mc:Choice Requires="x14">
            <control shapeId="26651" r:id="rId31" name="Check Box 27">
              <controlPr defaultSize="0" autoFill="0" autoLine="0" autoPict="0">
                <anchor moveWithCells="1">
                  <from>
                    <xdr:col>11</xdr:col>
                    <xdr:colOff>38100</xdr:colOff>
                    <xdr:row>128</xdr:row>
                    <xdr:rowOff>0</xdr:rowOff>
                  </from>
                  <to>
                    <xdr:col>11</xdr:col>
                    <xdr:colOff>219075</xdr:colOff>
                    <xdr:row>129</xdr:row>
                    <xdr:rowOff>0</xdr:rowOff>
                  </to>
                </anchor>
              </controlPr>
            </control>
          </mc:Choice>
        </mc:AlternateContent>
        <mc:AlternateContent xmlns:mc="http://schemas.openxmlformats.org/markup-compatibility/2006">
          <mc:Choice Requires="x14">
            <control shapeId="26652" r:id="rId32" name="Drop Down 28">
              <controlPr defaultSize="0" autoLine="0" autoPict="0">
                <anchor moveWithCells="1">
                  <from>
                    <xdr:col>13</xdr:col>
                    <xdr:colOff>47625</xdr:colOff>
                    <xdr:row>36</xdr:row>
                    <xdr:rowOff>19050</xdr:rowOff>
                  </from>
                  <to>
                    <xdr:col>13</xdr:col>
                    <xdr:colOff>2286000</xdr:colOff>
                    <xdr:row>37</xdr:row>
                    <xdr:rowOff>0</xdr:rowOff>
                  </to>
                </anchor>
              </controlPr>
            </control>
          </mc:Choice>
        </mc:AlternateContent>
        <mc:AlternateContent xmlns:mc="http://schemas.openxmlformats.org/markup-compatibility/2006">
          <mc:Choice Requires="x14">
            <control shapeId="26653" r:id="rId33" name="Drop Down 29">
              <controlPr defaultSize="0" autoLine="0" autoPict="0">
                <anchor moveWithCells="1">
                  <from>
                    <xdr:col>13</xdr:col>
                    <xdr:colOff>47625</xdr:colOff>
                    <xdr:row>31</xdr:row>
                    <xdr:rowOff>19050</xdr:rowOff>
                  </from>
                  <to>
                    <xdr:col>13</xdr:col>
                    <xdr:colOff>2286000</xdr:colOff>
                    <xdr:row>32</xdr:row>
                    <xdr:rowOff>0</xdr:rowOff>
                  </to>
                </anchor>
              </controlPr>
            </control>
          </mc:Choice>
        </mc:AlternateContent>
        <mc:AlternateContent xmlns:mc="http://schemas.openxmlformats.org/markup-compatibility/2006">
          <mc:Choice Requires="x14">
            <control shapeId="26654" r:id="rId34" name="Drop Down 30">
              <controlPr defaultSize="0" autoLine="0" autoPict="0">
                <anchor moveWithCells="1">
                  <from>
                    <xdr:col>14</xdr:col>
                    <xdr:colOff>66675</xdr:colOff>
                    <xdr:row>71</xdr:row>
                    <xdr:rowOff>9525</xdr:rowOff>
                  </from>
                  <to>
                    <xdr:col>14</xdr:col>
                    <xdr:colOff>2305050</xdr:colOff>
                    <xdr:row>71</xdr:row>
                    <xdr:rowOff>171450</xdr:rowOff>
                  </to>
                </anchor>
              </controlPr>
            </control>
          </mc:Choice>
        </mc:AlternateContent>
        <mc:AlternateContent xmlns:mc="http://schemas.openxmlformats.org/markup-compatibility/2006">
          <mc:Choice Requires="x14">
            <control shapeId="26655" r:id="rId35" name="Drop Down 31">
              <controlPr defaultSize="0" autoLine="0" autoPict="0">
                <anchor moveWithCells="1">
                  <from>
                    <xdr:col>15</xdr:col>
                    <xdr:colOff>47625</xdr:colOff>
                    <xdr:row>69</xdr:row>
                    <xdr:rowOff>9525</xdr:rowOff>
                  </from>
                  <to>
                    <xdr:col>15</xdr:col>
                    <xdr:colOff>2286000</xdr:colOff>
                    <xdr:row>69</xdr:row>
                    <xdr:rowOff>171450</xdr:rowOff>
                  </to>
                </anchor>
              </controlPr>
            </control>
          </mc:Choice>
        </mc:AlternateContent>
        <mc:AlternateContent xmlns:mc="http://schemas.openxmlformats.org/markup-compatibility/2006">
          <mc:Choice Requires="x14">
            <control shapeId="26656" r:id="rId36" name="Drop Down 32">
              <controlPr defaultSize="0" autoLine="0" autoPict="0">
                <anchor moveWithCells="1">
                  <from>
                    <xdr:col>12</xdr:col>
                    <xdr:colOff>38100</xdr:colOff>
                    <xdr:row>39</xdr:row>
                    <xdr:rowOff>19050</xdr:rowOff>
                  </from>
                  <to>
                    <xdr:col>12</xdr:col>
                    <xdr:colOff>2286000</xdr:colOff>
                    <xdr:row>40</xdr:row>
                    <xdr:rowOff>0</xdr:rowOff>
                  </to>
                </anchor>
              </controlPr>
            </control>
          </mc:Choice>
        </mc:AlternateContent>
        <mc:AlternateContent xmlns:mc="http://schemas.openxmlformats.org/markup-compatibility/2006">
          <mc:Choice Requires="x14">
            <control shapeId="26657" r:id="rId37" name="Drop Down 33">
              <controlPr defaultSize="0" autoLine="0" autoPict="0">
                <anchor moveWithCells="1">
                  <from>
                    <xdr:col>13</xdr:col>
                    <xdr:colOff>47625</xdr:colOff>
                    <xdr:row>39</xdr:row>
                    <xdr:rowOff>19050</xdr:rowOff>
                  </from>
                  <to>
                    <xdr:col>13</xdr:col>
                    <xdr:colOff>2286000</xdr:colOff>
                    <xdr:row>40</xdr:row>
                    <xdr:rowOff>0</xdr:rowOff>
                  </to>
                </anchor>
              </controlPr>
            </control>
          </mc:Choice>
        </mc:AlternateContent>
        <mc:AlternateContent xmlns:mc="http://schemas.openxmlformats.org/markup-compatibility/2006">
          <mc:Choice Requires="x14">
            <control shapeId="26658" r:id="rId38" name="Drop Down 34">
              <controlPr defaultSize="0" autoLine="0" autoPict="0">
                <anchor moveWithCells="1">
                  <from>
                    <xdr:col>13</xdr:col>
                    <xdr:colOff>47625</xdr:colOff>
                    <xdr:row>37</xdr:row>
                    <xdr:rowOff>19050</xdr:rowOff>
                  </from>
                  <to>
                    <xdr:col>13</xdr:col>
                    <xdr:colOff>2286000</xdr:colOff>
                    <xdr:row>38</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AN279"/>
  <sheetViews>
    <sheetView showGridLines="0" showRowColHeaders="0" showRuler="0" topLeftCell="K18" zoomScaleNormal="100" zoomScalePageLayoutView="55" workbookViewId="0">
      <selection activeCell="O45" sqref="O45"/>
    </sheetView>
  </sheetViews>
  <sheetFormatPr baseColWidth="10" defaultColWidth="0" defaultRowHeight="14.25" customHeight="1" zeroHeight="1" x14ac:dyDescent="0.2"/>
  <cols>
    <col min="1" max="2" width="1.5" style="116" hidden="1" customWidth="1"/>
    <col min="3" max="3" width="2.875" style="116" hidden="1" customWidth="1"/>
    <col min="4" max="4" width="1.5" style="116" hidden="1" customWidth="1"/>
    <col min="5" max="8" width="10.875" style="116" hidden="1" customWidth="1"/>
    <col min="9" max="10" width="1.625" style="116" hidden="1" customWidth="1"/>
    <col min="11" max="11" width="40.5" style="116" customWidth="1"/>
    <col min="12" max="12" width="9.625" style="116" customWidth="1"/>
    <col min="13" max="16" width="30.5" style="116" customWidth="1"/>
    <col min="17" max="17" width="1.375" style="116" customWidth="1"/>
    <col min="18" max="18" width="1.375" style="400" hidden="1" customWidth="1"/>
    <col min="19" max="19" width="11" style="117" hidden="1" customWidth="1"/>
    <col min="20" max="35" width="11" style="118" hidden="1" customWidth="1"/>
    <col min="36" max="16384" width="11" style="117" hidden="1"/>
  </cols>
  <sheetData>
    <row r="1" spans="11:16" hidden="1" x14ac:dyDescent="0.2">
      <c r="K1" s="116" t="s">
        <v>89</v>
      </c>
      <c r="M1" s="63">
        <v>8</v>
      </c>
      <c r="N1" s="63">
        <v>1</v>
      </c>
      <c r="O1" s="63">
        <v>1</v>
      </c>
    </row>
    <row r="2" spans="11:16" hidden="1" x14ac:dyDescent="0.2">
      <c r="K2" s="116" t="s">
        <v>204</v>
      </c>
      <c r="M2" s="119">
        <f ca="1">OFFSET(rL2.MainGroupsHead01,rF1.MainGroupSelection,1,1,1)</f>
        <v>0</v>
      </c>
      <c r="N2" s="119" t="str">
        <f ca="1">OFFSET(rL2.MainGroupsHead02,rF1.MainGroupSelection,1,1,1)</f>
        <v>rD1.Knoten01</v>
      </c>
      <c r="O2" s="119" t="str">
        <f ca="1">OFFSET(rL2.MainGroupsHead03,rF1.MainGroupSelection,1,1,1)</f>
        <v>rD1.Knoten01</v>
      </c>
    </row>
    <row r="3" spans="11:16" hidden="1" x14ac:dyDescent="0.2">
      <c r="K3" s="116" t="s">
        <v>36</v>
      </c>
      <c r="M3" s="63">
        <v>6</v>
      </c>
      <c r="N3" s="63">
        <v>17</v>
      </c>
      <c r="O3" s="63">
        <v>17</v>
      </c>
    </row>
    <row r="4" spans="11:16" hidden="1" x14ac:dyDescent="0.2">
      <c r="K4" s="116" t="s">
        <v>83</v>
      </c>
      <c r="M4" s="63">
        <v>3</v>
      </c>
      <c r="N4" s="63">
        <v>0</v>
      </c>
      <c r="O4" s="63">
        <v>0</v>
      </c>
    </row>
    <row r="5" spans="11:16" hidden="1" x14ac:dyDescent="0.2">
      <c r="K5" s="116" t="s">
        <v>37</v>
      </c>
      <c r="M5" s="63">
        <v>1</v>
      </c>
      <c r="N5" s="63">
        <v>1</v>
      </c>
      <c r="O5" s="63">
        <v>1</v>
      </c>
    </row>
    <row r="6" spans="11:16" hidden="1" x14ac:dyDescent="0.2">
      <c r="K6" s="116" t="s">
        <v>502</v>
      </c>
      <c r="M6" s="63"/>
      <c r="N6" s="63">
        <v>2</v>
      </c>
      <c r="O6" s="63">
        <v>2</v>
      </c>
    </row>
    <row r="7" spans="11:16" hidden="1" x14ac:dyDescent="0.2">
      <c r="K7" s="116" t="s">
        <v>503</v>
      </c>
      <c r="M7" s="63">
        <v>2</v>
      </c>
      <c r="N7" s="63">
        <v>2</v>
      </c>
      <c r="O7" s="63"/>
    </row>
    <row r="8" spans="11:16" hidden="1" x14ac:dyDescent="0.2">
      <c r="K8" s="116" t="s">
        <v>146</v>
      </c>
      <c r="M8" s="63">
        <v>1</v>
      </c>
      <c r="N8" s="63">
        <v>0</v>
      </c>
      <c r="O8" s="63">
        <v>1</v>
      </c>
    </row>
    <row r="9" spans="11:16" hidden="1" x14ac:dyDescent="0.2">
      <c r="K9" s="116" t="s">
        <v>147</v>
      </c>
      <c r="M9" s="63">
        <v>1</v>
      </c>
      <c r="N9" s="63">
        <v>2</v>
      </c>
      <c r="O9" s="63">
        <v>3</v>
      </c>
    </row>
    <row r="10" spans="11:16" hidden="1" x14ac:dyDescent="0.2">
      <c r="K10" s="116" t="s">
        <v>38</v>
      </c>
      <c r="M10" s="63">
        <v>2</v>
      </c>
      <c r="N10" s="63">
        <v>2</v>
      </c>
      <c r="O10" s="63">
        <v>2</v>
      </c>
      <c r="P10" s="63">
        <v>2</v>
      </c>
    </row>
    <row r="11" spans="11:16" hidden="1" x14ac:dyDescent="0.2">
      <c r="K11" s="116" t="s">
        <v>39</v>
      </c>
      <c r="M11" s="63">
        <v>1</v>
      </c>
      <c r="N11" s="63">
        <v>1</v>
      </c>
      <c r="O11" s="63">
        <v>1</v>
      </c>
      <c r="P11" s="63">
        <v>1</v>
      </c>
    </row>
    <row r="12" spans="11:16" hidden="1" x14ac:dyDescent="0.2">
      <c r="K12" s="116" t="s">
        <v>40</v>
      </c>
      <c r="M12" s="63">
        <v>3</v>
      </c>
      <c r="N12" s="63">
        <v>3</v>
      </c>
      <c r="O12" s="63">
        <v>3</v>
      </c>
      <c r="P12" s="63">
        <v>3</v>
      </c>
    </row>
    <row r="13" spans="11:16" hidden="1" x14ac:dyDescent="0.2">
      <c r="K13" s="116" t="s">
        <v>379</v>
      </c>
      <c r="N13" s="63">
        <v>1</v>
      </c>
    </row>
    <row r="14" spans="11:16" hidden="1" x14ac:dyDescent="0.2">
      <c r="K14" s="116" t="s">
        <v>516</v>
      </c>
      <c r="N14" s="63">
        <v>2</v>
      </c>
    </row>
    <row r="15" spans="11:16" hidden="1" x14ac:dyDescent="0.2">
      <c r="K15" s="116" t="s">
        <v>389</v>
      </c>
      <c r="N15" s="63">
        <v>1</v>
      </c>
    </row>
    <row r="16" spans="11:16" hidden="1" x14ac:dyDescent="0.2">
      <c r="K16" s="116" t="s">
        <v>482</v>
      </c>
      <c r="O16" s="63">
        <v>1</v>
      </c>
    </row>
    <row r="17" spans="5:37" hidden="1" x14ac:dyDescent="0.2">
      <c r="K17" s="116" t="s">
        <v>501</v>
      </c>
      <c r="P17" s="63">
        <v>1</v>
      </c>
    </row>
    <row r="18" spans="5:37" ht="19.5" x14ac:dyDescent="0.2">
      <c r="K18" s="120"/>
      <c r="L18" s="120"/>
      <c r="M18" s="120"/>
      <c r="N18" s="489"/>
      <c r="O18" s="489"/>
      <c r="P18" s="412"/>
      <c r="Q18" s="121"/>
    </row>
    <row r="19" spans="5:37" x14ac:dyDescent="0.2">
      <c r="K19" s="493" t="s">
        <v>468</v>
      </c>
      <c r="L19" s="493"/>
      <c r="M19" s="494"/>
      <c r="N19" s="492" t="s">
        <v>367</v>
      </c>
      <c r="O19" s="492"/>
      <c r="P19" s="122"/>
      <c r="Q19" s="123"/>
      <c r="R19" s="408"/>
    </row>
    <row r="20" spans="5:37" ht="59.25" customHeight="1" x14ac:dyDescent="0.2">
      <c r="K20" s="493"/>
      <c r="L20" s="493"/>
      <c r="M20" s="494"/>
      <c r="N20" s="492"/>
      <c r="O20" s="492"/>
      <c r="P20" s="124" t="s">
        <v>364</v>
      </c>
      <c r="Q20" s="125"/>
    </row>
    <row r="21" spans="5:37" ht="14.25" customHeight="1" thickBot="1" x14ac:dyDescent="0.25">
      <c r="K21" s="126"/>
      <c r="L21" s="126"/>
      <c r="M21" s="126"/>
      <c r="N21" s="126"/>
      <c r="O21" s="127"/>
      <c r="P21" s="128"/>
      <c r="Q21" s="129"/>
    </row>
    <row r="22" spans="5:37" ht="20.25" customHeight="1" thickTop="1" thickBot="1" x14ac:dyDescent="0.25">
      <c r="K22" s="130" t="s">
        <v>205</v>
      </c>
      <c r="L22" s="490" t="s">
        <v>624</v>
      </c>
      <c r="M22" s="490"/>
      <c r="N22" s="490"/>
      <c r="O22" s="490"/>
      <c r="P22" s="490"/>
      <c r="Q22" s="131"/>
    </row>
    <row r="23" spans="5:37" ht="16.5" thickTop="1" thickBot="1" x14ac:dyDescent="0.25">
      <c r="K23" s="132" t="s">
        <v>206</v>
      </c>
      <c r="L23" s="490"/>
      <c r="M23" s="490"/>
      <c r="N23" s="490"/>
      <c r="O23" s="490"/>
      <c r="P23" s="490"/>
      <c r="Q23" s="133"/>
      <c r="V23" s="134" t="s">
        <v>329</v>
      </c>
      <c r="X23" s="134" t="s">
        <v>484</v>
      </c>
    </row>
    <row r="24" spans="5:37" ht="16.5" thickTop="1" thickBot="1" x14ac:dyDescent="0.25">
      <c r="K24" s="132" t="s">
        <v>207</v>
      </c>
      <c r="L24" s="491"/>
      <c r="M24" s="490"/>
      <c r="N24" s="490"/>
      <c r="O24" s="490"/>
      <c r="P24" s="490"/>
      <c r="Q24" s="133"/>
      <c r="U24" s="134" t="s">
        <v>136</v>
      </c>
      <c r="V24" s="135">
        <v>1.5</v>
      </c>
      <c r="X24" s="136">
        <f ca="1">IF(rF1.CheckBasePlate=1,0,IF(rF1.CheckFoundation=1,rF1.PlotFoundationHeight,INDEX(rF1.WallHeight,1,1)))</f>
        <v>1</v>
      </c>
    </row>
    <row r="25" spans="5:37" ht="16.5" thickTop="1" thickBot="1" x14ac:dyDescent="0.25">
      <c r="K25" s="132" t="s">
        <v>208</v>
      </c>
      <c r="L25" s="490"/>
      <c r="M25" s="490"/>
      <c r="N25" s="490"/>
      <c r="O25" s="490"/>
      <c r="P25" s="490"/>
      <c r="Q25" s="133"/>
      <c r="U25" s="134" t="s">
        <v>2</v>
      </c>
      <c r="V25" s="135">
        <v>1</v>
      </c>
    </row>
    <row r="26" spans="5:37" ht="15" thickTop="1" x14ac:dyDescent="0.2">
      <c r="K26" s="137" t="s">
        <v>209</v>
      </c>
      <c r="L26" s="138"/>
      <c r="M26" s="138"/>
      <c r="N26" s="138"/>
      <c r="O26" s="138"/>
      <c r="P26" s="138"/>
      <c r="Q26" s="138"/>
    </row>
    <row r="27" spans="5:37" x14ac:dyDescent="0.2">
      <c r="E27" s="139"/>
      <c r="F27" s="139"/>
      <c r="G27" s="139"/>
      <c r="K27" s="140" t="s">
        <v>210</v>
      </c>
      <c r="L27" s="140"/>
      <c r="M27" s="140"/>
      <c r="N27" s="140"/>
      <c r="O27" s="140"/>
      <c r="P27" s="140"/>
      <c r="Q27" s="141"/>
    </row>
    <row r="28" spans="5:37" ht="15" thickBot="1" x14ac:dyDescent="0.25">
      <c r="E28" s="139"/>
      <c r="F28" s="139"/>
      <c r="G28" s="139"/>
      <c r="K28" s="142" t="s">
        <v>211</v>
      </c>
      <c r="L28" s="142"/>
      <c r="M28" s="143" t="s">
        <v>485</v>
      </c>
      <c r="N28" s="144" t="s">
        <v>212</v>
      </c>
      <c r="O28" s="143" t="s">
        <v>486</v>
      </c>
      <c r="P28" s="142"/>
      <c r="Q28" s="142"/>
      <c r="R28" s="401"/>
    </row>
    <row r="29" spans="5:37" ht="17.25" thickTop="1" thickBot="1" x14ac:dyDescent="0.25">
      <c r="E29" s="145">
        <f>IF(rF1.MainGroupSelection01=7,1,0)</f>
        <v>0</v>
      </c>
      <c r="G29" s="145">
        <f>IF(rF1.MainGroupSelection03=7,1,0)</f>
        <v>0</v>
      </c>
      <c r="K29" s="146" t="s">
        <v>213</v>
      </c>
      <c r="L29" s="146"/>
      <c r="M29" s="129"/>
      <c r="N29" s="147"/>
      <c r="O29" s="129"/>
      <c r="P29" s="148" t="s">
        <v>254</v>
      </c>
      <c r="Q29" s="131"/>
      <c r="S29" s="149" t="s">
        <v>328</v>
      </c>
      <c r="T29" s="150"/>
      <c r="U29" s="151"/>
      <c r="V29" s="151"/>
      <c r="W29" s="151"/>
      <c r="X29" s="151"/>
      <c r="Y29" s="151"/>
      <c r="Z29" s="151"/>
      <c r="AA29" s="152"/>
      <c r="AB29" s="149" t="s">
        <v>327</v>
      </c>
      <c r="AC29" s="151"/>
      <c r="AD29" s="150"/>
      <c r="AE29" s="151"/>
      <c r="AF29" s="151"/>
      <c r="AG29" s="151"/>
      <c r="AH29" s="151"/>
      <c r="AI29" s="151"/>
      <c r="AJ29" s="152"/>
      <c r="AK29" s="118"/>
    </row>
    <row r="30" spans="5:37" ht="15.75" thickTop="1" thickBot="1" x14ac:dyDescent="0.25">
      <c r="E30" s="145">
        <f>IF(rF1.MainGroupSelection01=8,1,0)</f>
        <v>1</v>
      </c>
      <c r="K30" s="146" t="s">
        <v>214</v>
      </c>
      <c r="L30" s="146"/>
      <c r="M30" s="153"/>
      <c r="N30" s="154"/>
      <c r="O30" s="153"/>
      <c r="P30" s="131"/>
      <c r="Q30" s="131"/>
      <c r="S30" s="155"/>
      <c r="T30" s="156" t="s">
        <v>116</v>
      </c>
      <c r="U30" s="157"/>
      <c r="V30" s="158">
        <v>0</v>
      </c>
      <c r="W30" s="159">
        <v>1</v>
      </c>
      <c r="X30" s="159">
        <v>2</v>
      </c>
      <c r="Y30" s="159">
        <v>3</v>
      </c>
      <c r="Z30" s="159">
        <v>4</v>
      </c>
      <c r="AA30" s="160">
        <v>5</v>
      </c>
      <c r="AB30" s="161"/>
      <c r="AC30" s="156" t="s">
        <v>116</v>
      </c>
      <c r="AD30" s="157"/>
      <c r="AE30" s="158">
        <v>0</v>
      </c>
      <c r="AF30" s="159">
        <v>1</v>
      </c>
      <c r="AG30" s="159">
        <v>2</v>
      </c>
      <c r="AH30" s="159">
        <v>3</v>
      </c>
      <c r="AI30" s="159">
        <v>4</v>
      </c>
      <c r="AJ30" s="160">
        <v>5</v>
      </c>
      <c r="AK30" s="118"/>
    </row>
    <row r="31" spans="5:37" ht="15.75" thickTop="1" thickBot="1" x14ac:dyDescent="0.25">
      <c r="K31" s="146" t="s">
        <v>462</v>
      </c>
      <c r="L31" s="146"/>
      <c r="M31" s="153"/>
      <c r="N31" s="154"/>
      <c r="O31" s="153"/>
      <c r="P31" s="131"/>
      <c r="Q31" s="131"/>
      <c r="S31" s="155" t="str">
        <f ca="1">IF(OR(rF1.CheckFoundation,rF1.CheckBasePlate),"","W1")</f>
        <v/>
      </c>
      <c r="T31" s="158" t="str">
        <f ca="1">IF(OR(rF1.CheckFoundation,rF1.CheckBasePlate),"",rP2.OutputWall01)</f>
        <v/>
      </c>
      <c r="U31" s="162" t="s">
        <v>93</v>
      </c>
      <c r="V31" s="163">
        <f ca="1">IF(rF1.CheckBasePlate=1,0,IF(rF1.CheckFoundation=1,rF1.PlotFoundationWidth/2,INDEX(rF1.WallThickness,1,1)/2))</f>
        <v>0.75</v>
      </c>
      <c r="W31" s="163">
        <f ca="1">IF(rF1.CheckBasePlate=1,0,IF(rF1.CheckFoundation=1,rF1.PlotFoundationWidth/2,INDEX(rF1.WallThickness,1,1)/2))</f>
        <v>0.75</v>
      </c>
      <c r="X31" s="163">
        <f ca="1">IF(rF1.CheckBasePlate=1,0,IF(rF1.CheckFoundation=1,-rF1.PlotFoundationWidth/2,-INDEX(rF1.WallThickness,1,1)/2))</f>
        <v>-0.75</v>
      </c>
      <c r="Y31" s="163">
        <f ca="1">IF(rF1.CheckBasePlate=1,0,IF(rF1.CheckFoundation=1,-rF1.PlotFoundationWidth/2,-INDEX(rF1.WallThickness,1,1)/2))</f>
        <v>-0.75</v>
      </c>
      <c r="Z31" s="163">
        <f ca="1">IF(rF1.CheckBasePlate=1,0,IF(rF1.CheckFoundation=1,rF1.PlotFoundationWidth/2,INDEX(rF1.WallThickness,1,1)/2))</f>
        <v>0.75</v>
      </c>
      <c r="AA31" s="164">
        <f ca="1">IF(rF1.CheckBasePlate=1,0,IF(rF1.CheckFoundation=1,rF1.PlotFoundationWidth/2,INDEX(rF1.WallThickness,1,1)/2))</f>
        <v>0.75</v>
      </c>
      <c r="AB31" s="165"/>
      <c r="AC31" s="158" t="str">
        <f>rP2.OutputWall01</f>
        <v>Wand 1</v>
      </c>
      <c r="AD31" s="162" t="s">
        <v>93</v>
      </c>
      <c r="AE31" s="163">
        <f>INDEX(rF1.WallLenght,1,1)/2</f>
        <v>1.6</v>
      </c>
      <c r="AF31" s="163">
        <f>INDEX(rF1.WallLenght,1,1)/2</f>
        <v>1.6</v>
      </c>
      <c r="AG31" s="163">
        <f>-INDEX(rF1.WallLenght,1,1)/2</f>
        <v>-1.6</v>
      </c>
      <c r="AH31" s="163">
        <f>-INDEX(rF1.WallLenght,1,1)/2</f>
        <v>-1.6</v>
      </c>
      <c r="AI31" s="163">
        <f>INDEX(rF1.WallLenght,1,1)/2</f>
        <v>1.6</v>
      </c>
      <c r="AJ31" s="164">
        <f>INDEX(rF1.WallLenght,1,1)/2</f>
        <v>1.6</v>
      </c>
      <c r="AK31" s="118"/>
    </row>
    <row r="32" spans="5:37" ht="15.75" thickTop="1" thickBot="1" x14ac:dyDescent="0.25">
      <c r="K32" s="146" t="s">
        <v>481</v>
      </c>
      <c r="L32" s="146"/>
      <c r="M32" s="153"/>
      <c r="N32" s="154"/>
      <c r="O32" s="153"/>
      <c r="P32" s="131"/>
      <c r="Q32" s="131"/>
      <c r="S32" s="155"/>
      <c r="T32" s="166"/>
      <c r="U32" s="167" t="s">
        <v>94</v>
      </c>
      <c r="V32" s="168">
        <v>0</v>
      </c>
      <c r="W32" s="168">
        <f ca="1">IF(rF1.CheckBasePlate=1,0,rF1.PlotHeightFirstFloor)</f>
        <v>1</v>
      </c>
      <c r="X32" s="168">
        <f ca="1">IF(rF1.CheckBasePlate=1,0,rF1.PlotHeightFirstFloor)</f>
        <v>1</v>
      </c>
      <c r="Y32" s="168">
        <v>0</v>
      </c>
      <c r="Z32" s="168">
        <v>0</v>
      </c>
      <c r="AA32" s="169">
        <f ca="1">IF(rF1.CheckBasePlate=1,0,IF(rF1.CheckFoundation=1,rF1.PlotFoundationHeight/2,INDEX(rF1.WallHeight,1,1)/2))</f>
        <v>0.5</v>
      </c>
      <c r="AB32" s="165"/>
      <c r="AC32" s="166"/>
      <c r="AD32" s="167" t="s">
        <v>94</v>
      </c>
      <c r="AE32" s="168">
        <v>0</v>
      </c>
      <c r="AF32" s="168">
        <f ca="1">IF(rF1.CheckBasePlate=1,0,rF1.PlotHeightFirstFloor)</f>
        <v>1</v>
      </c>
      <c r="AG32" s="168">
        <f ca="1">IF(rF1.CheckBasePlate=1,0,rF1.PlotHeightFirstFloor)</f>
        <v>1</v>
      </c>
      <c r="AH32" s="168">
        <v>0</v>
      </c>
      <c r="AI32" s="168">
        <v>0</v>
      </c>
      <c r="AJ32" s="169">
        <f ca="1">IF(rF1.CheckBasePlate=1,0,IF(rF1.CheckFoundation=1,rF1.PlotFoundationHeight/2,INDEX(rF1.WallHeight,1,1)/2))</f>
        <v>0.5</v>
      </c>
      <c r="AK32" s="118"/>
    </row>
    <row r="33" spans="5:37" ht="17.25" thickTop="1" thickBot="1" x14ac:dyDescent="0.25">
      <c r="K33" s="170" t="s">
        <v>215</v>
      </c>
      <c r="L33" s="146" t="s">
        <v>43</v>
      </c>
      <c r="M33" s="171" t="str">
        <f>IF(rF1.CheckFoundation=1,"-",rF1.MasonryStrenghtChar01)</f>
        <v>-</v>
      </c>
      <c r="N33" s="172">
        <f ca="1">rF1.MasonryStrenghtChar02</f>
        <v>2.5833333333333335</v>
      </c>
      <c r="O33" s="171">
        <f ca="1">IF(rF1.CheckWallNotExisting=1,"-",rF1.MasonryStrenghtChar03)</f>
        <v>2.5833333333333335</v>
      </c>
      <c r="P33" s="131"/>
      <c r="Q33" s="131"/>
      <c r="S33" s="155" t="s">
        <v>470</v>
      </c>
      <c r="T33" s="158" t="str">
        <f>rP2.OutputWall02</f>
        <v>Wand 2</v>
      </c>
      <c r="U33" s="162" t="s">
        <v>93</v>
      </c>
      <c r="V33" s="163">
        <f ca="1">rF1.WallThickness02/2</f>
        <v>8.7499999999999994E-2</v>
      </c>
      <c r="W33" s="163">
        <f ca="1">rF1.WallThickness02/2</f>
        <v>8.7499999999999994E-2</v>
      </c>
      <c r="X33" s="163">
        <f ca="1">-rF1.WallThickness02/2</f>
        <v>-8.7499999999999994E-2</v>
      </c>
      <c r="Y33" s="163">
        <f ca="1">-rF1.WallThickness02/2</f>
        <v>-8.7499999999999994E-2</v>
      </c>
      <c r="Z33" s="163">
        <f ca="1">rF1.WallThickness02/2</f>
        <v>8.7499999999999994E-2</v>
      </c>
      <c r="AA33" s="164">
        <f ca="1">rF1.WallThickness02/2</f>
        <v>8.7499999999999994E-2</v>
      </c>
      <c r="AB33" s="165"/>
      <c r="AC33" s="158" t="str">
        <f>rP2.OutputWall02</f>
        <v>Wand 2</v>
      </c>
      <c r="AD33" s="162" t="s">
        <v>93</v>
      </c>
      <c r="AE33" s="163">
        <f>INDEX(rF1.WallLenght,1,2)/2</f>
        <v>1.5</v>
      </c>
      <c r="AF33" s="163">
        <f>INDEX(rF1.WallLenght,1,2)/2</f>
        <v>1.5</v>
      </c>
      <c r="AG33" s="163">
        <f>-INDEX(rF1.WallLenght,1,2)/2</f>
        <v>-1.5</v>
      </c>
      <c r="AH33" s="163">
        <f>-INDEX(rF1.WallLenght,1,2)/2</f>
        <v>-1.5</v>
      </c>
      <c r="AI33" s="163">
        <f>INDEX(rF1.WallLenght,1,2)/2</f>
        <v>1.5</v>
      </c>
      <c r="AJ33" s="164">
        <f>INDEX(rF1.WallLenght,1,2)/2</f>
        <v>1.5</v>
      </c>
      <c r="AK33" s="118"/>
    </row>
    <row r="34" spans="5:37" ht="15.75" thickTop="1" thickBot="1" x14ac:dyDescent="0.25">
      <c r="K34" s="146" t="s">
        <v>216</v>
      </c>
      <c r="L34" s="146" t="s">
        <v>42</v>
      </c>
      <c r="M34" s="173">
        <f ca="1">rF1.WallThickness</f>
        <v>1.5</v>
      </c>
      <c r="N34" s="174">
        <f ca="1">rF1.WallThickness</f>
        <v>0.17499999999999999</v>
      </c>
      <c r="O34" s="173">
        <f ca="1">rF1.WallThickness</f>
        <v>0.17499999999999999</v>
      </c>
      <c r="P34" s="148"/>
      <c r="Q34" s="175"/>
      <c r="R34" s="117"/>
      <c r="S34" s="155"/>
      <c r="T34" s="166"/>
      <c r="U34" s="167" t="s">
        <v>94</v>
      </c>
      <c r="V34" s="168">
        <f ca="1">rF1.PlotHeightFirstFloor+IF(rF1.CheckSlabExisting03,MAX(INDEX(rF1.SlabThickness,1,1),INDEX(rF1.SlabThickness,1,3)),INDEX(rF1.SlabThickness,1,1))</f>
        <v>1.2</v>
      </c>
      <c r="W34" s="168">
        <f ca="1">rF1.PlotHeightFirstFloor+IF(rF1.CheckSlabExisting03,MAX(INDEX(rF1.SlabThickness,1,1),INDEX(rF1.SlabThickness,1,3)),INDEX(rF1.SlabThickness,1,1))+rF1.WallHeight02</f>
        <v>3.8449999999999998</v>
      </c>
      <c r="X34" s="168">
        <f ca="1">rF1.PlotHeightFirstFloor+IF(rF1.CheckSlabExisting03,MAX(INDEX(rF1.SlabThickness,1,1),INDEX(rF1.SlabThickness,1,3)),INDEX(rF1.SlabThickness,1,1))+rF1.WallHeight02</f>
        <v>3.8449999999999998</v>
      </c>
      <c r="Y34" s="168">
        <f ca="1">rF1.PlotHeightFirstFloor+IF(rF1.CheckSlabExisting03,MAX(INDEX(rF1.SlabThickness,1,1),INDEX(rF1.SlabThickness,1,3)),INDEX(rF1.SlabThickness,1,1))</f>
        <v>1.2</v>
      </c>
      <c r="Z34" s="168">
        <f ca="1">rF1.PlotHeightFirstFloor+IF(rF1.CheckSlabExisting03,MAX(INDEX(rF1.SlabThickness,1,1),INDEX(rF1.SlabThickness,1,3)),INDEX(rF1.SlabThickness,1,1))</f>
        <v>1.2</v>
      </c>
      <c r="AA34" s="168">
        <f ca="1">rF1.PlotHeightFirstFloor+IF(rF1.CheckSlabExisting03,MAX(INDEX(rF1.SlabThickness,1,1),INDEX(rF1.SlabThickness,1,3)),INDEX(rF1.SlabThickness,1,1))+rF1.WallHeight02/2</f>
        <v>2.5225</v>
      </c>
      <c r="AB34" s="165"/>
      <c r="AC34" s="166"/>
      <c r="AD34" s="167" t="s">
        <v>94</v>
      </c>
      <c r="AE34" s="168">
        <f ca="1">rF1.PlotHeightFirstFloor+IF(rF1.CheckSlabExisting03,MAX(INDEX(rF1.SlabThickness,1,1),INDEX(rF1.SlabThickness,1,3)),INDEX(rF1.SlabThickness,1,1))</f>
        <v>1.2</v>
      </c>
      <c r="AF34" s="168">
        <f ca="1">rF1.PlotHeightFirstFloor+IF(rF1.CheckSlabExisting03,MAX(INDEX(rF1.SlabThickness,1,1),INDEX(rF1.SlabThickness,1,3)),INDEX(rF1.SlabThickness,1,1))+rF1.WallHeight02</f>
        <v>3.8449999999999998</v>
      </c>
      <c r="AG34" s="168">
        <f ca="1">rF1.PlotHeightFirstFloor+IF(rF1.CheckSlabExisting03,MAX(INDEX(rF1.SlabThickness,1,1),INDEX(rF1.SlabThickness,1,3)),INDEX(rF1.SlabThickness,1,1))+rF1.WallHeight02</f>
        <v>3.8449999999999998</v>
      </c>
      <c r="AH34" s="168">
        <f ca="1">rF1.PlotHeightFirstFloor+IF(rF1.CheckSlabExisting03,MAX(INDEX(rF1.SlabThickness,1,1),INDEX(rF1.SlabThickness,1,3)),INDEX(rF1.SlabThickness,1,1))</f>
        <v>1.2</v>
      </c>
      <c r="AI34" s="168">
        <f ca="1">rF1.PlotHeightFirstFloor+IF(rF1.CheckSlabExisting03,MAX(INDEX(rF1.SlabThickness,1,1),INDEX(rF1.SlabThickness,1,3)),INDEX(rF1.SlabThickness,1,1))</f>
        <v>1.2</v>
      </c>
      <c r="AJ34" s="169">
        <f ca="1">rF1.PlotHeightFirstFloor+IF(rF1.CheckSlabExisting03,MAX(INDEX(rF1.SlabThickness,1,1),INDEX(rF1.SlabThickness,1,3)),INDEX(rF1.SlabThickness,1,1))+rF1.WallHeight02/2</f>
        <v>2.5225</v>
      </c>
      <c r="AK34" s="118"/>
    </row>
    <row r="35" spans="5:37" ht="15.75" thickTop="1" thickBot="1" x14ac:dyDescent="0.25">
      <c r="K35" s="146" t="s">
        <v>563</v>
      </c>
      <c r="L35" s="146" t="s">
        <v>2</v>
      </c>
      <c r="M35" s="83">
        <v>2.5</v>
      </c>
      <c r="N35" s="84">
        <v>2.645</v>
      </c>
      <c r="O35" s="83">
        <v>3</v>
      </c>
      <c r="P35" s="148" t="s">
        <v>266</v>
      </c>
      <c r="Q35" s="131"/>
      <c r="S35" s="155" t="str">
        <f>IF(rF1.CheckWallNotExisting=1,"","W3")</f>
        <v>W3</v>
      </c>
      <c r="T35" s="158" t="str">
        <f>IF(rF1.CheckWallNotExisting=1,"",rP2.OutputWall03)</f>
        <v>Wand 3</v>
      </c>
      <c r="U35" s="162" t="s">
        <v>93</v>
      </c>
      <c r="V35" s="163">
        <f ca="1">IF(rF1.CheckWallNotExisting=1,0,INDEX(rF1.WallThickness,1,3)/2)</f>
        <v>8.7499999999999994E-2</v>
      </c>
      <c r="W35" s="163">
        <f ca="1">IF(rF1.CheckWallNotExisting=1,0,INDEX(rF1.WallThickness,1,3)/2)</f>
        <v>8.7499999999999994E-2</v>
      </c>
      <c r="X35" s="163">
        <f ca="1">IF(rF1.CheckWallNotExisting=1,0,-INDEX(rF1.WallThickness,1,3)/2)</f>
        <v>-8.7499999999999994E-2</v>
      </c>
      <c r="Y35" s="163">
        <f ca="1">IF(rF1.CheckWallNotExisting=1,0,-INDEX(rF1.WallThickness,1,3)/2)</f>
        <v>-8.7499999999999994E-2</v>
      </c>
      <c r="Z35" s="163">
        <f ca="1">IF(rF1.CheckWallNotExisting=1,0,INDEX(rF1.WallThickness,1,3)/2)</f>
        <v>8.7499999999999994E-2</v>
      </c>
      <c r="AA35" s="164">
        <f ca="1">IF(rF1.CheckWallNotExisting=1,0,INDEX(rF1.WallThickness,1,3)/2)</f>
        <v>8.7499999999999994E-2</v>
      </c>
      <c r="AB35" s="165"/>
      <c r="AC35" s="158" t="str">
        <f>IF(rF1.CheckWallNotExisting=1,"",rP2.OutputWall03)</f>
        <v>Wand 3</v>
      </c>
      <c r="AD35" s="162" t="s">
        <v>93</v>
      </c>
      <c r="AE35" s="163">
        <f>IF(rF1.CheckWallNotExisting=1,0,INDEX(rF1.WallLenght,1,3)/2)</f>
        <v>1.5</v>
      </c>
      <c r="AF35" s="163">
        <f>IF(rF1.CheckWallNotExisting=1,0,INDEX(rF1.WallLenght,1,3)/2)</f>
        <v>1.5</v>
      </c>
      <c r="AG35" s="163">
        <f>IF(rF1.CheckWallNotExisting=1,0,-INDEX(rF1.WallLenght,1,3)/2)</f>
        <v>-1.5</v>
      </c>
      <c r="AH35" s="163">
        <f>IF(rF1.CheckWallNotExisting=1,0,-INDEX(rF1.WallLenght,1,3)/2)</f>
        <v>-1.5</v>
      </c>
      <c r="AI35" s="163">
        <f>IF(rF1.CheckWallNotExisting=1,0,INDEX(rF1.WallLenght,1,3)/2)</f>
        <v>1.5</v>
      </c>
      <c r="AJ35" s="164">
        <f>IF(rF1.CheckWallNotExisting=1,0,INDEX(rF1.WallLenght,1,3)/2)</f>
        <v>1.5</v>
      </c>
      <c r="AK35" s="118"/>
    </row>
    <row r="36" spans="5:37" ht="15.75" thickTop="1" thickBot="1" x14ac:dyDescent="0.25">
      <c r="K36" s="146" t="s">
        <v>218</v>
      </c>
      <c r="L36" s="146" t="s">
        <v>85</v>
      </c>
      <c r="M36" s="83">
        <v>3.2</v>
      </c>
      <c r="N36" s="84">
        <v>3</v>
      </c>
      <c r="O36" s="83">
        <v>3</v>
      </c>
      <c r="P36" s="131"/>
      <c r="Q36" s="131"/>
      <c r="S36" s="155"/>
      <c r="T36" s="166"/>
      <c r="U36" s="167" t="s">
        <v>94</v>
      </c>
      <c r="V36" s="168">
        <f ca="1">IF(rF1.CheckWallNotExisting,0,rF1.PlotHeightFirstFloor+IF(rF1.CheckSlabExisting03,MAX(INDEX(rF1.SlabThickness,1,1),INDEX(rF1.SlabThickness,1,3)),INDEX(rF1.SlabThickness,1,1))+rF1.WallHeight02+IF(rF1.CheckSlabExisting04,MAX(INDEX(rF1.SlabThickness,1,2),INDEX(rF1.SlabThickness,1,4)),INDEX(rF1.SlabThickness,1,2)))</f>
        <v>4.0449999999999999</v>
      </c>
      <c r="W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7.0449999999999999</v>
      </c>
      <c r="X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7.0449999999999999</v>
      </c>
      <c r="Y36" s="168">
        <f ca="1">IF(rF1.CheckWallNotExisting,0,rF1.PlotHeightFirstFloor+IF(rF1.CheckSlabExisting03,MAX(INDEX(rF1.SlabThickness,1,1),INDEX(rF1.SlabThickness,1,3)),INDEX(rF1.SlabThickness,1,1))+rF1.WallHeight02+IF(rF1.CheckSlabExisting04,MAX(INDEX(rF1.SlabThickness,1,2),INDEX(rF1.SlabThickness,1,4)),INDEX(rF1.SlabThickness,1,2)))</f>
        <v>4.0449999999999999</v>
      </c>
      <c r="Z36" s="168">
        <f ca="1">IF(rF1.CheckWallNotExisting,0,rF1.PlotHeightFirstFloor+IF(rF1.CheckSlabExisting03,MAX(INDEX(rF1.SlabThickness,1,1),INDEX(rF1.SlabThickness,1,3)),INDEX(rF1.SlabThickness,1,1))+rF1.WallHeight02+IF(rF1.CheckSlabExisting04,MAX(INDEX(rF1.SlabThickness,1,2),INDEX(rF1.SlabThickness,1,4)),INDEX(rF1.SlabThickness,1,2)))</f>
        <v>4.0449999999999999</v>
      </c>
      <c r="AA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2)</f>
        <v>5.5449999999999999</v>
      </c>
      <c r="AB36" s="165"/>
      <c r="AC36" s="166"/>
      <c r="AD36" s="167" t="s">
        <v>94</v>
      </c>
      <c r="AE36" s="168">
        <f ca="1">IF(rF1.CheckWallNotExisting,0,rF1.PlotHeightFirstFloor+IF(rF1.CheckSlabExisting03,MAX(INDEX(rF1.SlabThickness,1,1),INDEX(rF1.SlabThickness,1,3)),INDEX(rF1.SlabThickness,1,1))+rF1.WallHeight02+IF(rF1.CheckSlabExisting04,MAX(INDEX(rF1.SlabThickness,1,2),INDEX(rF1.SlabThickness,1,4)),INDEX(rF1.SlabThickness,1,2)))</f>
        <v>4.0449999999999999</v>
      </c>
      <c r="AF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7.0449999999999999</v>
      </c>
      <c r="AG36" s="168">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f>
        <v>7.0449999999999999</v>
      </c>
      <c r="AH36" s="168">
        <f ca="1">IF(rF1.CheckWallNotExisting,0,rF1.PlotHeightFirstFloor+IF(rF1.CheckSlabExisting03,MAX(INDEX(rF1.SlabThickness,1,1),INDEX(rF1.SlabThickness,1,3)),INDEX(rF1.SlabThickness,1,1))+rF1.WallHeight02+IF(rF1.CheckSlabExisting04,MAX(INDEX(rF1.SlabThickness,1,2),INDEX(rF1.SlabThickness,1,4)),INDEX(rF1.SlabThickness,1,2)))</f>
        <v>4.0449999999999999</v>
      </c>
      <c r="AI36" s="168">
        <f ca="1">IF(rF1.CheckWallNotExisting,0,rF1.PlotHeightFirstFloor+IF(rF1.CheckSlabExisting03,MAX(INDEX(rF1.SlabThickness,1,1),INDEX(rF1.SlabThickness,1,3)),INDEX(rF1.SlabThickness,1,1))+rF1.WallHeight02+IF(rF1.CheckSlabExisting04,MAX(INDEX(rF1.SlabThickness,1,2),INDEX(rF1.SlabThickness,1,4)),INDEX(rF1.SlabThickness,1,2)))</f>
        <v>4.0449999999999999</v>
      </c>
      <c r="AJ36" s="169">
        <f ca="1">IF(rF1.CheckWallNotExisting,0,rF1.PlotHeightFirstFloor+IF(rF1.CheckSlabExisting03,MAX(INDEX(rF1.SlabThickness,1,1),INDEX(rF1.SlabThickness,1,3)),INDEX(rF1.SlabThickness,1,1))+rF1.WallHeight02+IF(rF1.CheckSlabExisting04,MAX(INDEX(rF1.SlabThickness,1,2),INDEX(rF1.SlabThickness,1,4)),INDEX(rF1.SlabThickness,1,2))+INDEX(rF1.WallHeight,1,3)/2)</f>
        <v>5.5449999999999999</v>
      </c>
      <c r="AK36" s="118"/>
    </row>
    <row r="37" spans="5:37" ht="15.75" thickTop="1" thickBot="1" x14ac:dyDescent="0.25">
      <c r="K37" s="146" t="s">
        <v>376</v>
      </c>
      <c r="L37" s="146"/>
      <c r="M37" s="176"/>
      <c r="N37" s="177"/>
      <c r="O37" s="176"/>
      <c r="P37" s="131"/>
      <c r="Q37" s="131"/>
      <c r="S37" s="155"/>
      <c r="AA37" s="178"/>
      <c r="AB37" s="165"/>
      <c r="AJ37" s="178"/>
      <c r="AK37" s="118"/>
    </row>
    <row r="38" spans="5:37" ht="15.75" thickTop="1" thickBot="1" x14ac:dyDescent="0.25">
      <c r="E38" s="145" t="b">
        <f>IF(rF1.FireResClassSelection=1,TRUE,FALSE)</f>
        <v>0</v>
      </c>
      <c r="F38" s="145" t="b">
        <f>IF(AND(rF1.WallLenght02&lt;rP1.MaxLengthFireOutput,NOT(rF1.FireResNN)),TRUE,FALSE)</f>
        <v>0</v>
      </c>
      <c r="G38" s="145" t="b">
        <f ca="1">IF(AND(MIN(rF1.BearingDepthBottomRelated,rF1.BearingDepthTopRelated)&lt;rP1.MinBearingDepthFire,NOT(rF1.FireResNN)),TRUE,FALSE)</f>
        <v>0</v>
      </c>
      <c r="K38" s="146" t="s">
        <v>568</v>
      </c>
      <c r="L38" s="146"/>
      <c r="M38" s="388" t="str">
        <f ca="1">IF(rF1.CheckFireResManual02,rP2.OutputFireProofManual02,IF(rF1.CheckFireResColumn,rP2.FireProofManual,""))</f>
        <v/>
      </c>
      <c r="N38" s="177"/>
      <c r="O38" s="387"/>
      <c r="P38" s="131"/>
      <c r="Q38" s="131"/>
      <c r="S38" s="155" t="s">
        <v>471</v>
      </c>
      <c r="T38" s="158" t="str">
        <f>rP2.OutputSlab01</f>
        <v>Decke 1</v>
      </c>
      <c r="U38" s="162" t="s">
        <v>93</v>
      </c>
      <c r="V38" s="163">
        <f ca="1">rF1.DistanceBottom02-rF1.WallThickness02/2</f>
        <v>-0.1525</v>
      </c>
      <c r="W38" s="163">
        <f ca="1">rF1.DistanceBottom02-rF1.WallThickness02/2</f>
        <v>-0.1525</v>
      </c>
      <c r="X38" s="163">
        <f ca="1">rF1.WallThickness02/2+INDEX(rF1.SlabSpanPerpendicular,1,1)</f>
        <v>7.0875000000000004</v>
      </c>
      <c r="Y38" s="163">
        <f ca="1">rF1.WallThickness02/2+INDEX(rF1.SlabSpanPerpendicular,1,1)</f>
        <v>7.0875000000000004</v>
      </c>
      <c r="Z38" s="163">
        <f ca="1">rF1.WallThickness02/2+INDEX(rF1.SlabSpanPerpendicular,1,1)/2</f>
        <v>3.5874999999999999</v>
      </c>
      <c r="AA38" s="164">
        <f ca="1">rF1.DistanceBottom02-rF1.WallThickness02/2</f>
        <v>-0.1525</v>
      </c>
      <c r="AB38" s="165"/>
      <c r="AC38" s="158" t="str">
        <f>rP2.OutputSlab01</f>
        <v>Decke 1</v>
      </c>
      <c r="AD38" s="162" t="s">
        <v>93</v>
      </c>
      <c r="AE38" s="163">
        <f>-INDEX(rF1.SlabInfluenceWidth,1,1)/2</f>
        <v>-1.875</v>
      </c>
      <c r="AF38" s="163">
        <f>INDEX(rF1.SlabInfluenceWidth,1,1)/2</f>
        <v>1.875</v>
      </c>
      <c r="AG38" s="163">
        <f>INDEX(rF1.SlabInfluenceWidth,1,1)/2</f>
        <v>1.875</v>
      </c>
      <c r="AH38" s="163">
        <f>-INDEX(rF1.SlabInfluenceWidth,1,1)/2</f>
        <v>-1.875</v>
      </c>
      <c r="AI38" s="163">
        <f>-INDEX(rF1.SlabInfluenceWidth,1,1)/2</f>
        <v>-1.875</v>
      </c>
      <c r="AJ38" s="164">
        <f>(INDEX(rF1.SlabInfluenceWidth,1,1)-(INDEX(rF1.SlabInfluenceWidth,1,1)-INDEX(rF1.WallLenght,1,1)))/4</f>
        <v>0.8</v>
      </c>
      <c r="AK38" s="118"/>
    </row>
    <row r="39" spans="5:37" ht="15.75" thickTop="1" thickBot="1" x14ac:dyDescent="0.25">
      <c r="K39" s="170" t="s">
        <v>495</v>
      </c>
      <c r="L39" s="146"/>
      <c r="M39" s="153"/>
      <c r="N39" s="154"/>
      <c r="O39" s="153"/>
      <c r="P39" s="131"/>
      <c r="Q39" s="131"/>
      <c r="S39" s="155"/>
      <c r="T39" s="166"/>
      <c r="U39" s="167" t="s">
        <v>94</v>
      </c>
      <c r="V39" s="168">
        <f ca="1">rF1.PlotHeightFirstFloor+IF(rF1.CheckSlabExisting03,MIN(INDEX(rF1.SlabThickness,1,1),INDEX(rF1.SlabThickness,1,3)))</f>
        <v>1.2</v>
      </c>
      <c r="W39" s="168">
        <f ca="1">rF1.PlotHeightFirstFloor+INDEX(rF1.SlabThickness,1,1)</f>
        <v>1.2</v>
      </c>
      <c r="X39" s="168">
        <f ca="1">rF1.PlotHeightFirstFloor+INDEX(rF1.SlabThickness,1,1)</f>
        <v>1.2</v>
      </c>
      <c r="Y39" s="168">
        <f ca="1">rF1.PlotHeightFirstFloor</f>
        <v>1</v>
      </c>
      <c r="Z39" s="168">
        <f ca="1">rF1.PlotHeightFirstFloor</f>
        <v>1</v>
      </c>
      <c r="AA39" s="169">
        <f ca="1">rF1.PlotHeightFirstFloor</f>
        <v>1</v>
      </c>
      <c r="AB39" s="165"/>
      <c r="AC39" s="166"/>
      <c r="AD39" s="167" t="s">
        <v>94</v>
      </c>
      <c r="AE39" s="168">
        <f ca="1">rF1.PlotHeightFirstFloor</f>
        <v>1</v>
      </c>
      <c r="AF39" s="168">
        <f ca="1">rF1.PlotHeightFirstFloor</f>
        <v>1</v>
      </c>
      <c r="AG39" s="168">
        <f ca="1">rF1.PlotHeightFirstFloor+IF(rF1.CheckSlabExisting03,MAX(INDEX(rF1.SlabThickness,1,1),INDEX(rF1.SlabThickness,1,3)),INDEX(rF1.SlabThickness,1,1))</f>
        <v>1.2</v>
      </c>
      <c r="AH39" s="168">
        <f ca="1">rF1.PlotHeightFirstFloor+IF(rF1.CheckSlabExisting03,MAX(INDEX(rF1.SlabThickness,1,1),INDEX(rF1.SlabThickness,1,3)),INDEX(rF1.SlabThickness,1,1))</f>
        <v>1.2</v>
      </c>
      <c r="AI39" s="168">
        <f ca="1">rF1.PlotHeightFirstFloor</f>
        <v>1</v>
      </c>
      <c r="AJ39" s="169">
        <f ca="1">rF1.PlotHeightFirstFloor</f>
        <v>1</v>
      </c>
      <c r="AK39" s="118"/>
    </row>
    <row r="40" spans="5:37" ht="15.75" thickTop="1" thickBot="1" x14ac:dyDescent="0.25">
      <c r="K40" s="170" t="s">
        <v>496</v>
      </c>
      <c r="L40" s="146"/>
      <c r="M40" s="153"/>
      <c r="N40" s="154"/>
      <c r="O40" s="153"/>
      <c r="P40" s="131"/>
      <c r="Q40" s="131"/>
      <c r="S40" s="155" t="s">
        <v>472</v>
      </c>
      <c r="T40" s="158" t="str">
        <f>rP2.OutputSlab02</f>
        <v>Decke 2</v>
      </c>
      <c r="U40" s="162" t="s">
        <v>93</v>
      </c>
      <c r="V40" s="163">
        <f ca="1">rF1.DistanceTop02-rF1.WallThickness02/2</f>
        <v>-0.1525</v>
      </c>
      <c r="W40" s="163">
        <f ca="1">rF1.DistanceTop02-rF1.WallThickness02/2</f>
        <v>-0.1525</v>
      </c>
      <c r="X40" s="163">
        <f ca="1">rF1.WallThickness02/2+INDEX(rF1.SlabSpanPerpendicular,1,2)</f>
        <v>7.0875000000000004</v>
      </c>
      <c r="Y40" s="163">
        <f ca="1">rF1.WallThickness02/2+INDEX(rF1.SlabSpanPerpendicular,1,2)</f>
        <v>7.0875000000000004</v>
      </c>
      <c r="Z40" s="163">
        <f ca="1">rF1.WallThickness02/2+INDEX(rF1.SlabSpanPerpendicular,1,2)/2</f>
        <v>3.5874999999999999</v>
      </c>
      <c r="AA40" s="164">
        <f ca="1">rF1.DistanceTop02-rF1.WallThickness02/2</f>
        <v>-0.1525</v>
      </c>
      <c r="AB40" s="165"/>
      <c r="AC40" s="158" t="str">
        <f>rP2.OutputSlab02</f>
        <v>Decke 2</v>
      </c>
      <c r="AD40" s="162" t="s">
        <v>93</v>
      </c>
      <c r="AE40" s="163">
        <f>-INDEX(rF1.SlabInfluenceWidth,1,2)/2</f>
        <v>-1.875</v>
      </c>
      <c r="AF40" s="163">
        <f>INDEX(rF1.SlabInfluenceWidth,1,2)/2</f>
        <v>1.875</v>
      </c>
      <c r="AG40" s="163">
        <f>INDEX(rF1.SlabInfluenceWidth,1,2)/2</f>
        <v>1.875</v>
      </c>
      <c r="AH40" s="163">
        <f>-INDEX(rF1.SlabInfluenceWidth,1,2)/2</f>
        <v>-1.875</v>
      </c>
      <c r="AI40" s="163">
        <f>-INDEX(rF1.SlabInfluenceWidth,1,2)/2</f>
        <v>-1.875</v>
      </c>
      <c r="AJ40" s="164">
        <f>(INDEX(rF1.SlabInfluenceWidth,1,2)-(INDEX(rF1.SlabInfluenceWidth,1,2)-INDEX(rF1.WallLenght,1,2)))/4</f>
        <v>0.75</v>
      </c>
      <c r="AK40" s="118"/>
    </row>
    <row r="41" spans="5:37" ht="15.75" thickTop="1" thickBot="1" x14ac:dyDescent="0.25">
      <c r="E41" s="179"/>
      <c r="K41" s="170" t="s">
        <v>220</v>
      </c>
      <c r="L41" s="146"/>
      <c r="M41" s="180"/>
      <c r="N41" s="181"/>
      <c r="O41" s="180"/>
      <c r="P41" s="131"/>
      <c r="Q41" s="131"/>
      <c r="S41" s="155"/>
      <c r="T41" s="166"/>
      <c r="U41" s="167" t="s">
        <v>94</v>
      </c>
      <c r="V41" s="168">
        <f ca="1">rF1.PlotHeightFirstFloor+IF(rF1.CheckSlabExisting03,MAX(INDEX(rF1.SlabThickness,1,1),INDEX(rF1.SlabThickness,1,3)),INDEX(rF1.SlabThickness,1,1))+rF1.WallHeight02+IF(rF1.CheckSlabExisting04,MIN(INDEX(rF1.SlabThickness,1,2),INDEX(rF1.SlabThickness,1,4)))</f>
        <v>4.0449999999999999</v>
      </c>
      <c r="W41" s="168">
        <f ca="1">rF1.PlotHeightFirstFloor+IF(rF1.CheckSlabExisting03,MAX(INDEX(rF1.SlabThickness,1,1),INDEX(rF1.SlabThickness,1,3)),INDEX(rF1.SlabThickness,1,1))+rF1.WallHeight02+INDEX(rF1.SlabThickness,1,2)</f>
        <v>4.0449999999999999</v>
      </c>
      <c r="X41" s="168">
        <f ca="1">rF1.PlotHeightFirstFloor+IF(rF1.CheckSlabExisting03,MAX(INDEX(rF1.SlabThickness,1,1),INDEX(rF1.SlabThickness,1,3)),INDEX(rF1.SlabThickness,1,1))+rF1.WallHeight02+INDEX(rF1.SlabThickness,1,2)</f>
        <v>4.0449999999999999</v>
      </c>
      <c r="Y41" s="168">
        <f ca="1">rF1.PlotHeightFirstFloor+IF(rF1.CheckSlabExisting03,MAX(INDEX(rF1.SlabThickness,1,1),INDEX(rF1.SlabThickness,1,3)),INDEX(rF1.SlabThickness,1,1))+rF1.WallHeight02</f>
        <v>3.8449999999999998</v>
      </c>
      <c r="Z41" s="168">
        <f ca="1">rF1.PlotHeightFirstFloor+IF(rF1.CheckSlabExisting03,MAX(INDEX(rF1.SlabThickness,1,1),INDEX(rF1.SlabThickness,1,3)),INDEX(rF1.SlabThickness,1,1))+rF1.WallHeight02</f>
        <v>3.8449999999999998</v>
      </c>
      <c r="AA41" s="168">
        <f ca="1">rF1.PlotHeightFirstFloor+IF(rF1.CheckSlabExisting03,MAX(INDEX(rF1.SlabThickness,1,1),INDEX(rF1.SlabThickness,1,3)),INDEX(rF1.SlabThickness,1,1))+rF1.WallHeight02</f>
        <v>3.8449999999999998</v>
      </c>
      <c r="AB41" s="165"/>
      <c r="AC41" s="166"/>
      <c r="AD41" s="167" t="s">
        <v>94</v>
      </c>
      <c r="AE41" s="168">
        <f ca="1">rF1.PlotHeightFirstFloor+IF(rF1.CheckSlabExisting03,MAX(INDEX(rF1.SlabThickness,1,1),INDEX(rF1.SlabThickness,1,3)),INDEX(rF1.SlabThickness,1,1))+rF1.WallHeight02</f>
        <v>3.8449999999999998</v>
      </c>
      <c r="AF41" s="168">
        <f ca="1">rF1.PlotHeightFirstFloor+IF(rF1.CheckSlabExisting03,MAX(INDEX(rF1.SlabThickness,1,1),INDEX(rF1.SlabThickness,1,3)),INDEX(rF1.SlabThickness,1,1))+rF1.WallHeight02</f>
        <v>3.8449999999999998</v>
      </c>
      <c r="AG41" s="168">
        <f ca="1">rF1.PlotHeightFirstFloor+IF(rF1.CheckSlabExisting03,MAX(INDEX(rF1.SlabThickness,1,1),INDEX(rF1.SlabThickness,1,3)),INDEX(rF1.SlabThickness,1,1))+rF1.WallHeight02+IF(rF1.CheckSlabExisting04,MAX(INDEX(rF1.SlabThickness,1,2),INDEX(rF1.SlabThickness,1,4)),INDEX(rF1.SlabThickness,1,2))</f>
        <v>4.0449999999999999</v>
      </c>
      <c r="AH41" s="168">
        <f ca="1">rF1.PlotHeightFirstFloor+IF(rF1.CheckSlabExisting03,MAX(INDEX(rF1.SlabThickness,1,1),INDEX(rF1.SlabThickness,1,3)),INDEX(rF1.SlabThickness,1,1))+rF1.WallHeight02+IF(rF1.CheckSlabExisting04,MAX(INDEX(rF1.SlabThickness,1,2),INDEX(rF1.SlabThickness,1,4)),INDEX(rF1.SlabThickness,1,2))</f>
        <v>4.0449999999999999</v>
      </c>
      <c r="AI41" s="168">
        <f ca="1">rF1.PlotHeightFirstFloor+IF(rF1.CheckSlabExisting03,MAX(INDEX(rF1.SlabThickness,1,1),INDEX(rF1.SlabThickness,1,3)),INDEX(rF1.SlabThickness,1,1))+rF1.WallHeight02</f>
        <v>3.8449999999999998</v>
      </c>
      <c r="AJ41" s="169">
        <f ca="1">rF1.PlotHeightFirstFloor+IF(rF1.CheckSlabExisting03,MAX(INDEX(rF1.SlabThickness,1,1),INDEX(rF1.SlabThickness,1,3)),INDEX(rF1.SlabThickness,1,1))+rF1.WallHeight02</f>
        <v>3.8449999999999998</v>
      </c>
      <c r="AK41" s="118"/>
    </row>
    <row r="42" spans="5:37" ht="17.25" thickTop="1" thickBot="1" x14ac:dyDescent="0.25">
      <c r="E42" s="64" t="b">
        <v>0</v>
      </c>
      <c r="K42" s="146" t="s">
        <v>221</v>
      </c>
      <c r="L42" s="146" t="s">
        <v>356</v>
      </c>
      <c r="M42" s="182" t="str">
        <f ca="1">IF(rF1.CheckWoodenSlab02,rP2.OutputEccentricityWoodenSlab,"")</f>
        <v/>
      </c>
      <c r="N42" s="84">
        <v>0</v>
      </c>
      <c r="O42" s="180"/>
      <c r="P42" s="131"/>
      <c r="Q42" s="131"/>
      <c r="S42" s="155" t="str">
        <f ca="1">IF(rF1.CheckSlabExisting03=0,"","D3")</f>
        <v>D3</v>
      </c>
      <c r="T42" s="158" t="str">
        <f ca="1">IF(rF1.CheckSlabExisting03=0,"",rP2.OutputSlab03)</f>
        <v>Decke 3</v>
      </c>
      <c r="U42" s="162" t="s">
        <v>93</v>
      </c>
      <c r="V42" s="163">
        <f ca="1">IF(rF1.CheckSlabExisting03=0,0,rF1.DistanceBottom02-rF1.WallThickness02/2)</f>
        <v>-0.1525</v>
      </c>
      <c r="W42" s="163">
        <f ca="1">IF(rF1.CheckSlabExisting03=0,0,rF1.DistanceBottom02-rF1.WallThickness02/2)</f>
        <v>-0.1525</v>
      </c>
      <c r="X42" s="163">
        <f ca="1">IF(rF1.CheckSlabExisting03=0,0,-rF1.WallThickness02/2-INDEX(rF1.SlabSpanPerpendicular,1,3))</f>
        <v>-4.0875000000000004</v>
      </c>
      <c r="Y42" s="163">
        <f ca="1">IF(rF1.CheckSlabExisting03=0,0,-rF1.WallThickness02/2-INDEX(rF1.SlabSpanPerpendicular,1,3))</f>
        <v>-4.0875000000000004</v>
      </c>
      <c r="Z42" s="163">
        <f ca="1">IF(rF1.CheckSlabExisting03=0,0,-rF1.WallThickness02/2-INDEX(rF1.SlabSpanPerpendicular,1,3)/2)</f>
        <v>-2.0874999999999999</v>
      </c>
      <c r="AA42" s="164">
        <f ca="1">IF(rF1.CheckSlabExisting03=0,0,rF1.DistanceBottom02-rF1.WallThickness02/2)</f>
        <v>-0.1525</v>
      </c>
      <c r="AB42" s="165"/>
      <c r="AD42" s="134"/>
      <c r="AJ42" s="178"/>
      <c r="AK42" s="118"/>
    </row>
    <row r="43" spans="5:37" ht="17.25" thickTop="1" thickBot="1" x14ac:dyDescent="0.25">
      <c r="E43" s="64" t="b">
        <v>0</v>
      </c>
      <c r="K43" s="146" t="s">
        <v>222</v>
      </c>
      <c r="L43" s="146" t="s">
        <v>357</v>
      </c>
      <c r="M43" s="182" t="str">
        <f ca="1">IF(rF1.CheckWoodenSlab01,rP2.OutputEccentricityWoodenSlab,"")</f>
        <v/>
      </c>
      <c r="N43" s="84">
        <v>0</v>
      </c>
      <c r="O43" s="180"/>
      <c r="P43" s="131"/>
      <c r="Q43" s="131"/>
      <c r="S43" s="155"/>
      <c r="T43" s="166"/>
      <c r="U43" s="167" t="s">
        <v>94</v>
      </c>
      <c r="V43" s="168">
        <f ca="1">IF(rF1.CheckSlabExisting03=0,0,rF1.PlotHeightFirstFloor+MIN(INDEX(rF1.SlabThickness,1,1),INDEX(rF1.SlabThickness,1,3)))</f>
        <v>1.2</v>
      </c>
      <c r="W43" s="168">
        <f ca="1">IF(rF1.CheckSlabExisting03=0,0,rF1.PlotHeightFirstFloor+INDEX(rF1.SlabThickness,1,3))</f>
        <v>1.2</v>
      </c>
      <c r="X43" s="168">
        <f ca="1">IF(rF1.CheckSlabExisting03=0,0,rF1.PlotHeightFirstFloor+INDEX(rF1.SlabThickness,1,3))</f>
        <v>1.2</v>
      </c>
      <c r="Y43" s="168">
        <f ca="1">IF(rF1.CheckSlabExisting03=0,0,rF1.PlotHeightFirstFloor)</f>
        <v>1</v>
      </c>
      <c r="Z43" s="168">
        <f ca="1">IF(rF1.CheckSlabExisting03=0,0,rF1.PlotHeightFirstFloor)</f>
        <v>1</v>
      </c>
      <c r="AA43" s="169">
        <f ca="1">IF(rF1.CheckSlabExisting03=0,0,rF1.PlotHeightFirstFloor)</f>
        <v>1</v>
      </c>
      <c r="AB43" s="165"/>
      <c r="AD43" s="134"/>
      <c r="AJ43" s="178"/>
      <c r="AK43" s="118"/>
    </row>
    <row r="44" spans="5:37" ht="17.25" thickTop="1" thickBot="1" x14ac:dyDescent="0.25">
      <c r="E44" s="145">
        <f ca="1">MAX(INDEX(rF1.WallThickness,1,1)/3+0.04,0.1)</f>
        <v>0.54</v>
      </c>
      <c r="F44" s="145">
        <f ca="1">MAX(rF1.WallThickness02/3+0.04,0.1)</f>
        <v>0.1</v>
      </c>
      <c r="G44" s="179"/>
      <c r="H44" s="145" t="b">
        <f ca="1">IF(INDEX(rF1.SlabType,1,4)=rP1.CheckWordCantilever,TRUE,FALSE)</f>
        <v>0</v>
      </c>
      <c r="K44" s="185" t="s">
        <v>490</v>
      </c>
      <c r="L44" s="146" t="s">
        <v>358</v>
      </c>
      <c r="M44" s="83">
        <v>0.25</v>
      </c>
      <c r="N44" s="395">
        <v>0.24</v>
      </c>
      <c r="O44" s="173"/>
      <c r="P44" s="184" t="str">
        <f ca="1">IF(OR(AND(rF1.CheckSlabExisting04=1,INDEX(rF1.DistanceBottom,1,3)&lt;&gt;0),AND(rF1.CheckSlabExisting04=1,INDEX(rF1.DistanceTop,1,2)&lt;&gt;0)),IF(INDEX(rF1.SlabType,1,4)=rP1.CheckWordCantilever,rP2.OutputIsokorbSlab04,rP2.OutputContinuousSlab),IF(rF1.BearingDepthTop02&lt;rF1.MinBearingDepthTop02,IF(rF1.MinBearingDepthTop02=0.1,rP2.OutputBearingDepth02,rP2.OutputBearingDepth01&amp;" = "&amp;ROUND(rF1.MinBearingDepthTop02*1000,0)&amp;" mm!"),""))</f>
        <v>Durchgehende Decke, kein Abstand!</v>
      </c>
      <c r="Q44" s="129"/>
      <c r="S44" s="155" t="str">
        <f ca="1">IF(rF1.CheckSlabExisting04=0,"","D4")</f>
        <v>D4</v>
      </c>
      <c r="T44" s="158" t="str">
        <f ca="1">IF(rF1.CheckSlabExisting04=0,"",rP2.OutputSlab04)</f>
        <v>Decke 4</v>
      </c>
      <c r="U44" s="162" t="s">
        <v>93</v>
      </c>
      <c r="V44" s="163">
        <f ca="1">IF(rF1.CheckSlabExisting04=0,0,rF1.DistanceTop02-rF1.WallThickness02/2)</f>
        <v>-0.1525</v>
      </c>
      <c r="W44" s="163">
        <f ca="1">IF(rF1.CheckSlabExisting04=0,0,rF1.DistanceTop02-rF1.WallThickness02/2)</f>
        <v>-0.1525</v>
      </c>
      <c r="X44" s="163">
        <f ca="1">IF(rF1.CheckSlabExisting04=0,0,-rF1.WallThickness02/2-INDEX(rF1.SlabSpanPerpendicular,1,4))</f>
        <v>-4.0875000000000004</v>
      </c>
      <c r="Y44" s="163">
        <f ca="1">IF(rF1.CheckSlabExisting04=0,0,-rF1.WallThickness02/2-INDEX(rF1.SlabSpanPerpendicular,1,4))</f>
        <v>-4.0875000000000004</v>
      </c>
      <c r="Z44" s="163">
        <f ca="1">IF(rF1.CheckSlabExisting04=0,0,-rF1.WallThickness02/2-INDEX(rF1.SlabSpanPerpendicular,1,4)/2)</f>
        <v>-2.0874999999999999</v>
      </c>
      <c r="AA44" s="164">
        <f ca="1">IF(rF1.CheckSlabExisting04=0,0,rF1.DistanceTop02-rF1.WallThickness02/2)</f>
        <v>-0.1525</v>
      </c>
      <c r="AB44" s="165"/>
      <c r="AD44" s="134"/>
      <c r="AJ44" s="178"/>
      <c r="AK44" s="118"/>
    </row>
    <row r="45" spans="5:37" ht="17.25" thickTop="1" thickBot="1" x14ac:dyDescent="0.25">
      <c r="F45" s="145">
        <f ca="1">MAX(rF1.WallThickness02/3+0.04,0.1)</f>
        <v>0.1</v>
      </c>
      <c r="G45" s="145">
        <f ca="1">MAX(INDEX(rF1.WallThickness,1,3)/3+0.04,0.1)</f>
        <v>0.1</v>
      </c>
      <c r="H45" s="145" t="b">
        <f ca="1">IF(INDEX(rF1.SlabType,1,3)=rP1.CheckWordCantilever,TRUE,FALSE)</f>
        <v>0</v>
      </c>
      <c r="K45" s="187" t="s">
        <v>491</v>
      </c>
      <c r="L45" s="185" t="s">
        <v>359</v>
      </c>
      <c r="M45" s="173"/>
      <c r="N45" s="395">
        <v>0.24</v>
      </c>
      <c r="O45" s="83">
        <v>0.24</v>
      </c>
      <c r="P45" s="184" t="str">
        <f ca="1">IF(OR(AND(rF1.CheckSlabExisting03,INDEX(rF1.DistanceBottom,1,2)&lt;&gt;0),AND(rF1.CheckSlabExisting03,INDEX(rF1.DistanceTop,1,1)&lt;&gt;0)),IF(INDEX(rF1.SlabType,1,3)=rP1.CheckWordCantilever,rP2.OutputIsokorbSlab03,rP2.OutputContinuousSlab),IF(rF1.BearingDepthBottom02&lt;rF1.MinBearingDepthBottom02,IF(rF1.MinBearingDepthBottom02=0.1,rP2.OutputBearingDepth02,rP2.OutputBearingDepth01&amp;" = "&amp;ROUND(rF1.MinBearingDepthBottom02*1000,0)&amp;" mm!"),""))</f>
        <v>Durchgehende Decke, kein Abstand!</v>
      </c>
      <c r="Q45" s="153"/>
      <c r="S45" s="155"/>
      <c r="T45" s="166"/>
      <c r="U45" s="167" t="s">
        <v>94</v>
      </c>
      <c r="V45" s="168">
        <f ca="1">IF(rF1.CheckSlabExisting04=0,0,rF1.PlotHeightFirstFloor+IF(rF1.CheckSlabExisting03,MAX(INDEX(rF1.SlabThickness,1,1),INDEX(rF1.SlabThickness,1,3)),INDEX(rF1.SlabThickness,1,1))+rF1.WallHeight02+MIN(INDEX(rF1.SlabThickness,1,2),INDEX(rF1.SlabThickness,1,4)))</f>
        <v>4.0449999999999999</v>
      </c>
      <c r="W45" s="168">
        <f ca="1">IF(rF1.CheckSlabExisting04=0,0,rF1.PlotHeightFirstFloor+IF(rF1.CheckSlabExisting03,MAX(INDEX(rF1.SlabThickness,1,1),INDEX(rF1.SlabThickness,1,3)),INDEX(rF1.SlabThickness,1,1))+rF1.WallHeight02+INDEX(rF1.SlabThickness,1,4))</f>
        <v>4.0449999999999999</v>
      </c>
      <c r="X45" s="168">
        <f ca="1">IF(rF1.CheckSlabExisting04=0,0,rF1.PlotHeightFirstFloor+IF(rF1.CheckSlabExisting03,MAX(INDEX(rF1.SlabThickness,1,1),INDEX(rF1.SlabThickness,1,3)),INDEX(rF1.SlabThickness,1,1))+rF1.WallHeight02+INDEX(rF1.SlabThickness,1,4))</f>
        <v>4.0449999999999999</v>
      </c>
      <c r="Y45" s="168">
        <f ca="1">IF(rF1.CheckSlabExisting04=0,0,rF1.PlotHeightFirstFloor+IF(rF1.CheckSlabExisting03,MAX(INDEX(rF1.SlabThickness,1,1),INDEX(rF1.SlabThickness,1,3)),INDEX(rF1.SlabThickness,1,1))+rF1.WallHeight02)</f>
        <v>3.8449999999999998</v>
      </c>
      <c r="Z45" s="168">
        <f ca="1">IF(rF1.CheckSlabExisting04=0,0,rF1.PlotHeightFirstFloor+IF(rF1.CheckSlabExisting03,MAX(INDEX(rF1.SlabThickness,1,1),INDEX(rF1.SlabThickness,1,3)),INDEX(rF1.SlabThickness,1,1))+rF1.WallHeight02)</f>
        <v>3.8449999999999998</v>
      </c>
      <c r="AA45" s="168">
        <f ca="1">IF(rF1.CheckSlabExisting04=0,0,rF1.PlotHeightFirstFloor+IF(rF1.CheckSlabExisting03,MAX(INDEX(rF1.SlabThickness,1,1),INDEX(rF1.SlabThickness,1,3)),INDEX(rF1.SlabThickness,1,1))+rF1.WallHeight02)</f>
        <v>3.8449999999999998</v>
      </c>
      <c r="AB45" s="165"/>
      <c r="AD45" s="134"/>
      <c r="AJ45" s="178"/>
      <c r="AK45" s="118"/>
    </row>
    <row r="46" spans="5:37" ht="17.25" thickTop="1" thickBot="1" x14ac:dyDescent="0.25">
      <c r="E46" s="145">
        <f ca="1">INDEX(rF1.WallThickness,1,1)</f>
        <v>1.5</v>
      </c>
      <c r="F46" s="145">
        <f ca="1">rF1.WallThickness02</f>
        <v>0.17499999999999999</v>
      </c>
      <c r="K46" s="146" t="s">
        <v>559</v>
      </c>
      <c r="L46" s="146" t="s">
        <v>562</v>
      </c>
      <c r="M46" s="399">
        <f ca="1">rF1.BearingDepthTop01/rF1.WallThickness</f>
        <v>0.16666666666666666</v>
      </c>
      <c r="N46" s="390">
        <f ca="1">rF1.BearingDepthTop02/rF1.WallThickness02</f>
        <v>1.3714285714285714</v>
      </c>
      <c r="O46" s="173"/>
      <c r="P46" s="184"/>
      <c r="Q46" s="131"/>
      <c r="S46" s="155"/>
      <c r="T46" s="158" t="s">
        <v>119</v>
      </c>
      <c r="U46" s="162" t="s">
        <v>93</v>
      </c>
      <c r="V46" s="163">
        <f ca="1">MAX(MAX(rF1.PlotPoints01,ABS(MIN(rF1.PlotPoints01))))*rF1.PlotOutlineFactor01</f>
        <v>7.7962500000000015</v>
      </c>
      <c r="W46" s="186">
        <f ca="1">-MAX(MAX(rF1.PlotPoints01,ABS(MIN(rF1.PlotPoints01))))*rF1.PlotOutlineFactor01</f>
        <v>-7.7962500000000015</v>
      </c>
      <c r="AA46" s="178"/>
      <c r="AB46" s="155"/>
      <c r="AC46" s="158" t="s">
        <v>119</v>
      </c>
      <c r="AD46" s="162" t="s">
        <v>93</v>
      </c>
      <c r="AE46" s="163">
        <f ca="1">MAX(MAX(rF1.PlotPoints01,ABS(MIN(rF1.PlotPoints01))))*rF1.PlotOutlineFactor01</f>
        <v>7.7962500000000015</v>
      </c>
      <c r="AF46" s="186">
        <f ca="1">-MAX(MAX(rF1.PlotPoints01,ABS(MIN(rF1.PlotPoints01))))*rF1.PlotOutlineFactor01</f>
        <v>-7.7962500000000015</v>
      </c>
      <c r="AJ46" s="178"/>
      <c r="AK46" s="118"/>
    </row>
    <row r="47" spans="5:37" ht="17.25" thickTop="1" thickBot="1" x14ac:dyDescent="0.25">
      <c r="F47" s="145">
        <f ca="1">rF1.WallThickness02</f>
        <v>0.17499999999999999</v>
      </c>
      <c r="G47" s="145">
        <f ca="1">INDEX(rF1.WallThickness,1,3)</f>
        <v>0.17499999999999999</v>
      </c>
      <c r="K47" s="185" t="s">
        <v>560</v>
      </c>
      <c r="L47" s="185" t="s">
        <v>561</v>
      </c>
      <c r="M47" s="173"/>
      <c r="N47" s="391">
        <f ca="1">rF1.BearingDepthBottom02/rF1.WallThickness02</f>
        <v>1.3714285714285714</v>
      </c>
      <c r="O47" s="399">
        <f ca="1">rF1.BearingDepthBottom03/rF1.WallThickness</f>
        <v>1.3714285714285714</v>
      </c>
      <c r="P47" s="410"/>
      <c r="Q47" s="129"/>
      <c r="S47" s="188" t="s">
        <v>123</v>
      </c>
      <c r="T47" s="189">
        <v>1.1000000000000001</v>
      </c>
      <c r="U47" s="167" t="s">
        <v>94</v>
      </c>
      <c r="V47" s="168">
        <f ca="1">MAX(MAX(rF1.PlotPoints01,ABS(MIN(rF1.PlotPoints01))))*rF1.PlotOutlineFactor01</f>
        <v>7.7962500000000015</v>
      </c>
      <c r="W47" s="190">
        <f ca="1">MAX(MAX(rF1.PlotPoints01,ABS(MIN(rF1.PlotPoints01))))*rF1.PlotOutlineFactor01</f>
        <v>7.7962500000000015</v>
      </c>
      <c r="AA47" s="178"/>
      <c r="AB47" s="188" t="s">
        <v>123</v>
      </c>
      <c r="AC47" s="191">
        <f>rF1.PlotOutlineFactor01</f>
        <v>1.1000000000000001</v>
      </c>
      <c r="AD47" s="167" t="s">
        <v>94</v>
      </c>
      <c r="AE47" s="168">
        <f ca="1">MAX(MAX(rF1.PlotPoints01,ABS(MIN(rF1.PlotPoints01))))*rF1.PlotOutlineFactor01</f>
        <v>7.7962500000000015</v>
      </c>
      <c r="AF47" s="190">
        <f ca="1">MAX(MAX(rF1.PlotPoints01,ABS(MIN(rF1.PlotPoints01))))*rF1.PlotOutlineFactor01</f>
        <v>7.7962500000000015</v>
      </c>
      <c r="AJ47" s="178"/>
      <c r="AK47" s="118"/>
    </row>
    <row r="48" spans="5:37" ht="15" thickTop="1" x14ac:dyDescent="0.2">
      <c r="K48" s="142" t="s">
        <v>225</v>
      </c>
      <c r="L48" s="142"/>
      <c r="M48" s="143" t="s">
        <v>255</v>
      </c>
      <c r="N48" s="143" t="s">
        <v>256</v>
      </c>
      <c r="O48" s="143" t="s">
        <v>257</v>
      </c>
      <c r="P48" s="143" t="s">
        <v>258</v>
      </c>
      <c r="Q48" s="192"/>
      <c r="S48" s="193"/>
      <c r="AA48" s="178"/>
      <c r="AB48" s="165"/>
      <c r="AJ48" s="178"/>
      <c r="AK48" s="118"/>
    </row>
    <row r="49" spans="5:40" ht="15" thickBot="1" x14ac:dyDescent="0.25">
      <c r="E49" s="194">
        <f ca="1">IF(OR(OFFSET(rL1.Slab01Head,rF1.SlabTypeSelection01,0,1,1)=rP1.CheckwordBaseplate,AND(rF1.CheckWoodenSlab01=0,OFFSET(rL1.Slab03Head,rF1.SlabTypeSelection03,0,1,1)=rP1.CheckwordBaseplate)),1,0)</f>
        <v>0</v>
      </c>
      <c r="G49" s="194">
        <f ca="1">IF(OFFSET(rF1.Slab03List,MIN(rF1.SlabTypeSelection03-1,COUNTA(rF1.Slab03List)-1),0,1,1)=rP1.CheckwordNotExisting,0,1)</f>
        <v>1</v>
      </c>
      <c r="H49" s="194">
        <f ca="1">IF(OFFSET(rF1.Slab04List,MIN(rF1.SlabTypeSelection04-1,COUNTA(rF1.Slab04List)-1),0,1,1)=rP1.CheckwordNotExisting,0,1)</f>
        <v>1</v>
      </c>
      <c r="K49" s="146" t="s">
        <v>226</v>
      </c>
      <c r="L49" s="146"/>
      <c r="M49" s="195"/>
      <c r="N49" s="196"/>
      <c r="O49" s="196"/>
      <c r="P49" s="197"/>
      <c r="Q49" s="131"/>
      <c r="S49" s="193"/>
      <c r="T49" s="158" t="s">
        <v>178</v>
      </c>
      <c r="U49" s="186"/>
      <c r="V49" s="163"/>
      <c r="W49" s="163"/>
      <c r="X49" s="163"/>
      <c r="Y49" s="198"/>
      <c r="Z49" s="163"/>
      <c r="AA49" s="164"/>
      <c r="AB49" s="165"/>
      <c r="AJ49" s="178"/>
      <c r="AK49" s="118"/>
    </row>
    <row r="50" spans="5:40" ht="15.75" thickTop="1" thickBot="1" x14ac:dyDescent="0.25">
      <c r="E50" s="145">
        <f ca="1">IF(OFFSET(rL1.Slab01Head,rF1.SlabTypeSelection01,0,1,1)=rP1.CheckwordWoodenSlab,1,0)</f>
        <v>0</v>
      </c>
      <c r="F50" s="145">
        <f ca="1">IF(OFFSET(rL1.Slab02Head,rF1.SlabTypeSelection02,0,1,1)=rP1.CheckwordWoodenSlab,1,0)</f>
        <v>0</v>
      </c>
      <c r="G50" s="145">
        <f ca="1">IF(AND(OFFSET(rL1.Slab01Head,rF1.SlabTypeSelection01,0,1,1)=rP1.CheckwordWoodenSlab,rF1.CheckSlabExisting03),1,0)</f>
        <v>0</v>
      </c>
      <c r="H50" s="145">
        <f ca="1">IF(AND(OFFSET(rL1.Slab02Head,rF1.SlabTypeSelection02,0,1,1)=rP1.CheckwordWoodenSlab,rF1.CheckSlabExisting04),1,0)</f>
        <v>0</v>
      </c>
      <c r="K50" s="170" t="s">
        <v>219</v>
      </c>
      <c r="L50" s="146"/>
      <c r="M50" s="199"/>
      <c r="N50" s="200"/>
      <c r="O50" s="200"/>
      <c r="P50" s="201"/>
      <c r="Q50" s="131"/>
      <c r="S50" s="202" t="s">
        <v>123</v>
      </c>
      <c r="T50" s="203">
        <v>0.05</v>
      </c>
      <c r="U50" s="204"/>
      <c r="V50" s="134">
        <v>0</v>
      </c>
      <c r="W50" s="134">
        <v>1</v>
      </c>
      <c r="X50" s="134" t="s">
        <v>179</v>
      </c>
      <c r="Y50" s="166" t="s">
        <v>1</v>
      </c>
      <c r="Z50" s="205" t="s">
        <v>10</v>
      </c>
      <c r="AA50" s="206" t="s">
        <v>9</v>
      </c>
      <c r="AB50" s="165"/>
      <c r="AD50" s="207" t="s">
        <v>195</v>
      </c>
      <c r="AE50" s="158">
        <v>0</v>
      </c>
      <c r="AF50" s="162">
        <v>1</v>
      </c>
      <c r="AJ50" s="178"/>
      <c r="AK50" s="118"/>
      <c r="AM50" s="118"/>
      <c r="AN50" s="118"/>
    </row>
    <row r="51" spans="5:40" ht="17.25" thickTop="1" thickBot="1" x14ac:dyDescent="0.25">
      <c r="K51" s="146" t="s">
        <v>227</v>
      </c>
      <c r="L51" s="146" t="s">
        <v>3</v>
      </c>
      <c r="M51" s="85">
        <v>7</v>
      </c>
      <c r="N51" s="86">
        <v>7</v>
      </c>
      <c r="O51" s="86">
        <v>4</v>
      </c>
      <c r="P51" s="87">
        <v>4</v>
      </c>
      <c r="Q51" s="131"/>
      <c r="S51" s="155"/>
      <c r="T51" s="158" t="str">
        <f>rP2.OutputSlab01</f>
        <v>Decke 1</v>
      </c>
      <c r="U51" s="162" t="s">
        <v>93</v>
      </c>
      <c r="V51" s="163">
        <f>INDEX(rF1.PositioningLineLoad,1,1)</f>
        <v>0</v>
      </c>
      <c r="W51" s="163">
        <f>INDEX(rF1.PositioningLineLoad,1,1)</f>
        <v>0</v>
      </c>
      <c r="X51" s="208" t="str">
        <f ca="1">IF(OR(rF1.CheckWoodenSlab01,rF1.CheckBendingMomentSlabBottom,INDEX(rF1.DesignTotalLineLoad,1,1)=0,INDEX(rF1.PositioningLineLoad,1,1)=0),"",INDEX(rF1.DesignTotalLineLoad,1,1))</f>
        <v/>
      </c>
      <c r="Y51" s="209" t="s">
        <v>93</v>
      </c>
      <c r="Z51" s="118">
        <f ca="1">rF1.WallThickness02/2+INDEX(rF1.SlabSpanPerpendicular,1,1)</f>
        <v>7.0875000000000004</v>
      </c>
      <c r="AA51" s="178">
        <f ca="1">rF1.WallThickness02/2+INDEX(rF1.SlabSpanPerpendicular,1,1)</f>
        <v>7.0875000000000004</v>
      </c>
      <c r="AB51" s="165"/>
      <c r="AD51" s="210" t="s">
        <v>93</v>
      </c>
      <c r="AE51" s="163">
        <f ca="1">IF(rF1.FixedVergesNumber=0,0,INDEX(rF1.WallLenght,1,2)/2)</f>
        <v>1.5</v>
      </c>
      <c r="AF51" s="186">
        <f ca="1">IF(rF1.FixedVergesNumber=0,0,INDEX(rF1.WallLenght,1,2)/2)</f>
        <v>1.5</v>
      </c>
      <c r="AJ51" s="178"/>
      <c r="AK51" s="118"/>
    </row>
    <row r="52" spans="5:40" ht="17.25" thickTop="1" thickBot="1" x14ac:dyDescent="0.25">
      <c r="K52" s="146" t="s">
        <v>228</v>
      </c>
      <c r="L52" s="146" t="s">
        <v>4</v>
      </c>
      <c r="M52" s="85">
        <v>10</v>
      </c>
      <c r="N52" s="86">
        <v>10</v>
      </c>
      <c r="O52" s="86">
        <v>10</v>
      </c>
      <c r="P52" s="87">
        <v>10</v>
      </c>
      <c r="Q52" s="131"/>
      <c r="S52" s="155"/>
      <c r="T52" s="166"/>
      <c r="U52" s="167" t="s">
        <v>94</v>
      </c>
      <c r="V52" s="168">
        <f ca="1">IF(OR(rF1.CheckWoodenSlab01,rF1.CheckBendingMomentSlabBottom,INDEX(rF1.DesignTotalLineLoad,1,1)=0,INDEX(rF1.PositioningLineLoad,1,1)=0),-5,rF1.PlotHeightFirstFloor+INDEX(rF1.SlabThickness,1,1)+INDEX(rF1.DesignTotalLineLoad,1,1)*rF1.PlotFactorLineLoad)</f>
        <v>-5</v>
      </c>
      <c r="W52" s="168">
        <f ca="1">IF(OR(rF1.CheckWoodenSlab01,rF1.CheckBendingMomentSlabBottom,INDEX(rF1.DesignTotalLineLoad,1,1)=0,INDEX(rF1.PositioningLineLoad,1,1)=0),-5,rF1.PlotHeightFirstFloor+INDEX(rF1.SlabThickness,1,1))</f>
        <v>-5</v>
      </c>
      <c r="X52" s="190"/>
      <c r="Y52" s="209" t="s">
        <v>94</v>
      </c>
      <c r="Z52" s="118">
        <f ca="1">IF(AND(rF1.CheckBasePlate=0,INDEX(rF1.SlabBearingType,1,1)=rP1.CheckwordFixed),rF1.PlotHeightFirstFloor,-5)</f>
        <v>1</v>
      </c>
      <c r="AA52" s="178">
        <f ca="1">IF(AND(rF1.CheckBasePlate=0,OR(INDEX(rF1.SlabBearingType,1,1)=rP1.CheckwordHinged,rF1.CheckWoodenSlab01=1)),rF1.PlotHeightFirstFloor,-5)</f>
        <v>-5</v>
      </c>
      <c r="AB52" s="165"/>
      <c r="AD52" s="211" t="s">
        <v>94</v>
      </c>
      <c r="AE52" s="168">
        <f ca="1">IF(rF1.FixedVergesNumber=0,0,rF1.PlotHeightFirstFloor+IF(rF1.CheckSlabExisting03,MAX(INDEX(rF1.SlabThickness,1,1),INDEX(rF1.SlabThickness,1,3)),INDEX(rF1.SlabThickness,1,1)))</f>
        <v>1.2</v>
      </c>
      <c r="AF52" s="190">
        <f ca="1">IF(rF1.FixedVergesNumber=0,0,rF1.PlotHeightFirstFloor+IF(rF1.CheckSlabExisting03,MAX(INDEX(rF1.SlabThickness,1,1),INDEX(rF1.SlabThickness,1,3)),INDEX(rF1.SlabThickness,1,1))+rF1.WallHeight02)</f>
        <v>3.8449999999999998</v>
      </c>
      <c r="AJ52" s="178"/>
      <c r="AK52" s="118"/>
    </row>
    <row r="53" spans="5:40" ht="15.75" thickTop="1" thickBot="1" x14ac:dyDescent="0.25">
      <c r="E53" s="212">
        <f ca="1">MAX(INDEX(rF1.WallLenght,1,2),IF(AND(rF1.CheckBasePlate=0,rF1.CheckFoundation=0),INDEX(rF1.WallLenght,1,1),0))</f>
        <v>3</v>
      </c>
      <c r="F53" s="212">
        <f>MAX(INDEX(rF1.WallLenght,1,2),IF(rF1.CheckWallNotExisting=0,INDEX(rF1.WallLenght,1,3),0))</f>
        <v>3</v>
      </c>
      <c r="K53" s="146" t="s">
        <v>229</v>
      </c>
      <c r="L53" s="146" t="s">
        <v>136</v>
      </c>
      <c r="M53" s="85">
        <v>3.75</v>
      </c>
      <c r="N53" s="86">
        <v>3.75</v>
      </c>
      <c r="O53" s="213">
        <f>INDEX(rF1.SlabInfluenceWidth,1,1)</f>
        <v>3.75</v>
      </c>
      <c r="P53" s="214">
        <f>INDEX(rF1.SlabInfluenceWidth,1,2)</f>
        <v>3.75</v>
      </c>
      <c r="Q53" s="131"/>
      <c r="S53" s="155"/>
      <c r="T53" s="158" t="str">
        <f>rP2.OutputSlab02</f>
        <v>Decke 2</v>
      </c>
      <c r="U53" s="162" t="s">
        <v>93</v>
      </c>
      <c r="V53" s="163">
        <f>INDEX(rF1.PositioningLineLoad,1,2)</f>
        <v>0</v>
      </c>
      <c r="W53" s="163">
        <f>INDEX(rF1.PositioningLineLoad,1,2)</f>
        <v>0</v>
      </c>
      <c r="X53" s="215" t="str">
        <f ca="1">IF(OR(rF1.CheckWoodenSlab02,rF1.CheckBendingMomentSlabTop,INDEX(rF1.DesignTotalLineLoad,1,2)=0,INDEX(rF1.PositioningLineLoad,1,2)=0),"",INDEX(rF1.DesignTotalLineLoad,1,2))</f>
        <v/>
      </c>
      <c r="Y53" s="198" t="s">
        <v>93</v>
      </c>
      <c r="Z53" s="163">
        <f ca="1">rF1.WallThickness02/2+INDEX(rF1.SlabSpanPerpendicular,1,2)</f>
        <v>7.0875000000000004</v>
      </c>
      <c r="AA53" s="164">
        <f ca="1">rF1.WallThickness02/2+INDEX(rF1.SlabSpanPerpendicular,1,2)</f>
        <v>7.0875000000000004</v>
      </c>
      <c r="AB53" s="155"/>
      <c r="AC53" s="117"/>
      <c r="AD53" s="210" t="s">
        <v>93</v>
      </c>
      <c r="AE53" s="163">
        <f ca="1">IF(OR(rF1.FixedVergesNumber=0,rF1.FixedVergesNumber=1),0,-INDEX(rF1.WallLenght,1,2)/2)</f>
        <v>0</v>
      </c>
      <c r="AF53" s="186">
        <f ca="1">IF(OR(rF1.FixedVergesNumber=0,rF1.FixedVergesNumber=1),0,-INDEX(rF1.WallLenght,1,2)/2)</f>
        <v>0</v>
      </c>
      <c r="AJ53" s="178"/>
      <c r="AK53" s="118"/>
    </row>
    <row r="54" spans="5:40" ht="17.25" thickTop="1" thickBot="1" x14ac:dyDescent="0.25">
      <c r="K54" s="146" t="s">
        <v>230</v>
      </c>
      <c r="L54" s="146" t="s">
        <v>5</v>
      </c>
      <c r="M54" s="85">
        <v>0.2</v>
      </c>
      <c r="N54" s="86">
        <v>0.2</v>
      </c>
      <c r="O54" s="86">
        <v>0.2</v>
      </c>
      <c r="P54" s="87">
        <v>0.2</v>
      </c>
      <c r="Q54" s="131"/>
      <c r="S54" s="155"/>
      <c r="T54" s="166"/>
      <c r="U54" s="167" t="s">
        <v>94</v>
      </c>
      <c r="V54" s="168">
        <f ca="1">IF(OR(rF1.CheckWoodenSlab02,rF1.CheckBendingMomentSlabTop,INDEX(rF1.DesignTotalLineLoad,1,2)=0,INDEX(rF1.PositioningLineLoad,1,2)=0),-5,rF1.PlotHeightFirstFloor+IF(rF1.CheckSlabExisting03,MAX(INDEX(rF1.SlabThickness,1,1),INDEX(rF1.SlabThickness,1,3)),INDEX(rF1.SlabThickness,1,1))+rF1.WallHeight02+INDEX(rF1.SlabThickness,1,2)+INDEX(rF1.DesignTotalLineLoad,1,2)*rF1.PlotFactorLineLoad)</f>
        <v>-5</v>
      </c>
      <c r="W54" s="168">
        <f ca="1">IF(OR(rF1.CheckWoodenSlab02,rF1.CheckBendingMomentSlabTop,INDEX(rF1.DesignTotalLineLoad,1,2)=0,INDEX(rF1.PositioningLineLoad,1,2)=0),-5,rF1.PlotHeightFirstFloor+IF(rF1.CheckSlabExisting03,MAX(INDEX(rF1.SlabThickness,1,1),INDEX(rF1.SlabThickness,1,3)),INDEX(rF1.SlabThickness,1,1))+rF1.WallHeight02+INDEX(rF1.SlabThickness,1,2))</f>
        <v>-5</v>
      </c>
      <c r="X54" s="168"/>
      <c r="Y54" s="191" t="s">
        <v>94</v>
      </c>
      <c r="Z54" s="168">
        <f ca="1">IF(INDEX(rF1.SlabBearingType,1,2)=rP1.CheckwordFixed,rF1.PlotHeightFirstFloor+IF(rF1.CheckSlabExisting03,MAX(INDEX(rF1.SlabThickness,1,1),INDEX(rF1.SlabThickness,1,3)),INDEX(rF1.SlabThickness,1,1))+rF1.WallHeight02,-5)</f>
        <v>3.8449999999999998</v>
      </c>
      <c r="AA54" s="169">
        <f ca="1">IF(OR(INDEX(rF1.SlabBearingType,1,2)=rP1.CheckwordHinged,rF1.CheckWoodenSlab02=1),rF1.PlotHeightFirstFloor+IF(rF1.CheckSlabExisting03,MAX(INDEX(rF1.SlabThickness,1,1),INDEX(rF1.SlabThickness,1,3)),INDEX(rF1.SlabThickness,1,1))+rF1.WallHeight02,-5)</f>
        <v>-5</v>
      </c>
      <c r="AB54" s="165"/>
      <c r="AD54" s="211" t="s">
        <v>94</v>
      </c>
      <c r="AE54" s="168">
        <f ca="1">IF(OR(rF1.FixedVergesNumber=0,rF1.FixedVergesNumber=1),0,rF1.PlotHeightFirstFloor+IF(rF1.CheckSlabExisting03,MAX(INDEX(rF1.SlabThickness,1,1),INDEX(rF1.SlabThickness,1,3)),INDEX(rF1.SlabThickness,1,1)))</f>
        <v>0</v>
      </c>
      <c r="AF54" s="190">
        <f ca="1">IF(OR(rF1.FixedVergesNumber=0,rF1.FixedVergesNumber=1),0,rF1.PlotHeightFirstFloor+IF(rF1.CheckSlabExisting03,MAX(INDEX(rF1.SlabThickness,1,1),INDEX(rF1.SlabThickness,1,3)),INDEX(rF1.SlabThickness,1,1))+rF1.WallHeight02)</f>
        <v>0</v>
      </c>
      <c r="AJ54" s="178"/>
      <c r="AK54" s="118"/>
    </row>
    <row r="55" spans="5:40" ht="15.75" thickTop="1" thickBot="1" x14ac:dyDescent="0.25">
      <c r="K55" s="185" t="s">
        <v>231</v>
      </c>
      <c r="L55" s="185"/>
      <c r="M55" s="199"/>
      <c r="N55" s="200"/>
      <c r="O55" s="200"/>
      <c r="P55" s="201"/>
      <c r="Q55" s="129"/>
      <c r="S55" s="155"/>
      <c r="T55" s="158" t="str">
        <f ca="1">IF(rF1.CheckSlabExisting03=0,"",rP2.OutputSlab03)</f>
        <v>Decke 3</v>
      </c>
      <c r="U55" s="162" t="s">
        <v>93</v>
      </c>
      <c r="V55" s="163">
        <f>-INDEX(rF1.PositioningLineLoad,1,3)</f>
        <v>0</v>
      </c>
      <c r="W55" s="163">
        <f>-INDEX(rF1.PositioningLineLoad,1,3)</f>
        <v>0</v>
      </c>
      <c r="X55" s="208" t="str">
        <f ca="1">IF(OR(rF1.CheckWoodenSlab03,rF1.CheckBendingMomentSlabBottom,rF1.CheckSlabExisting03=0,INDEX(rF1.DesignTotalLineLoad,1,3)=0,INDEX(rF1.PositioningLineLoad,1,3)=0),"",INDEX(rF1.DesignTotalLineLoad,1,3))</f>
        <v/>
      </c>
      <c r="Y55" s="209" t="s">
        <v>93</v>
      </c>
      <c r="Z55" s="118">
        <f ca="1">IF(rF1.CheckSlabExisting03=0,0,-rF1.WallThickness02/2-INDEX(rF1.SlabSpanPerpendicular,1,3))</f>
        <v>-4.0875000000000004</v>
      </c>
      <c r="AA55" s="178">
        <f ca="1">IF(rF1.CheckSlabExisting03=0,0,-rF1.WallThickness02/2-INDEX(rF1.SlabSpanPerpendicular,1,3))</f>
        <v>-4.0875000000000004</v>
      </c>
      <c r="AB55" s="165"/>
      <c r="AJ55" s="178"/>
      <c r="AK55" s="118"/>
    </row>
    <row r="56" spans="5:40" ht="15" thickTop="1" x14ac:dyDescent="0.2">
      <c r="K56" s="216" t="s">
        <v>569</v>
      </c>
      <c r="L56" s="216"/>
      <c r="M56" s="216"/>
      <c r="N56" s="216"/>
      <c r="O56" s="216"/>
      <c r="P56" s="216"/>
      <c r="Q56" s="217"/>
      <c r="S56" s="155"/>
      <c r="T56" s="166"/>
      <c r="U56" s="167" t="s">
        <v>94</v>
      </c>
      <c r="V56" s="168">
        <f ca="1">IF(OR(rF1.CheckWoodenSlab03,rF1.CheckBendingMomentSlabBottom,rF1.CheckSlabExisting03=0,INDEX(rF1.DesignTotalLineLoad,1,3)=0,INDEX(rF1.PositioningLineLoad,1,3)=0),-5,rF1.PlotHeightFirstFloor+INDEX(rF1.SlabThickness,1,3)+INDEX(rF1.DesignTotalLineLoad,1,3)*rF1.PlotFactorLineLoad)</f>
        <v>-5</v>
      </c>
      <c r="W56" s="168">
        <f ca="1">IF(OR(rF1.CheckWoodenSlab03,rF1.CheckBendingMomentSlabBottom,rF1.CheckSlabExisting03=0,INDEX(rF1.DesignTotalLineLoad,1,3)=0,INDEX(rF1.PositioningLineLoad,1,3)=0),-5,rF1.PlotHeightFirstFloor+INDEX(rF1.SlabThickness,1,3))</f>
        <v>-5</v>
      </c>
      <c r="X56" s="190"/>
      <c r="Y56" s="191" t="s">
        <v>94</v>
      </c>
      <c r="Z56" s="168">
        <f ca="1">IF(AND(rF1.CheckBasePlate=0,rF1.CheckSlabExisting03,INDEX(rF1.SlabBearingType,1,3)=rP1.CheckwordFixed),rF1.PlotHeightFirstFloor,-5)</f>
        <v>1</v>
      </c>
      <c r="AA56" s="169">
        <f ca="1">IF(AND(rF1.CheckBasePlate=0,rF1.CheckSlabExisting03,OR(INDEX(rF1.SlabBearingType,1,3)=rP1.CheckwordHinged,rF1.CheckWoodenSlab03=1)),rF1.PlotHeightFirstFloor,-5)</f>
        <v>-5</v>
      </c>
      <c r="AB56" s="165"/>
      <c r="AJ56" s="178"/>
      <c r="AK56" s="118"/>
    </row>
    <row r="57" spans="5:40" x14ac:dyDescent="0.2">
      <c r="K57" s="142" t="s">
        <v>232</v>
      </c>
      <c r="L57" s="142"/>
      <c r="M57" s="143" t="s">
        <v>255</v>
      </c>
      <c r="N57" s="143" t="s">
        <v>256</v>
      </c>
      <c r="O57" s="143" t="s">
        <v>257</v>
      </c>
      <c r="P57" s="143" t="s">
        <v>258</v>
      </c>
      <c r="Q57" s="192"/>
      <c r="S57" s="155"/>
      <c r="T57" s="158" t="str">
        <f ca="1">IF(rF1.CheckSlabExisting04=0,"",rP2.OutputSlab04)</f>
        <v>Decke 4</v>
      </c>
      <c r="U57" s="162" t="s">
        <v>93</v>
      </c>
      <c r="V57" s="163">
        <f>-INDEX(rF1.PositioningLineLoad,1,4)</f>
        <v>0</v>
      </c>
      <c r="W57" s="163">
        <f>-INDEX(rF1.PositioningLineLoad,1,4)</f>
        <v>0</v>
      </c>
      <c r="X57" s="208" t="str">
        <f ca="1">IF(OR(rF1.CheckWoodenSlab04,rF1.CheckBendingMomentSlabTop,rF1.CheckSlabExisting04=0,INDEX(rF1.DesignTotalLineLoad,1,4)=0,INDEX(rF1.PositioningLineLoad,1,4)=0),"",INDEX(rF1.DesignTotalLineLoad,1,4))</f>
        <v/>
      </c>
      <c r="Y57" s="198" t="s">
        <v>93</v>
      </c>
      <c r="Z57" s="163">
        <f ca="1">IF(rF1.CheckSlabExisting04=0,0,-rF1.WallThickness02/2-INDEX(rF1.SlabSpanPerpendicular,1,4))</f>
        <v>-4.0875000000000004</v>
      </c>
      <c r="AA57" s="164">
        <f ca="1">IF(rF1.CheckSlabExisting04=0,0,-rF1.WallThickness02/2-INDEX(rF1.SlabSpanPerpendicular,1,4))</f>
        <v>-4.0875000000000004</v>
      </c>
      <c r="AB57" s="165"/>
      <c r="AJ57" s="178"/>
      <c r="AK57" s="118"/>
    </row>
    <row r="58" spans="5:40" ht="16.5" thickBot="1" x14ac:dyDescent="0.25">
      <c r="K58" s="218" t="s">
        <v>233</v>
      </c>
      <c r="L58" s="146" t="s">
        <v>6</v>
      </c>
      <c r="M58" s="373">
        <v>0</v>
      </c>
      <c r="N58" s="374">
        <v>9.25</v>
      </c>
      <c r="O58" s="374">
        <v>0</v>
      </c>
      <c r="P58" s="375">
        <v>9.25</v>
      </c>
      <c r="Q58" s="131"/>
      <c r="S58" s="219"/>
      <c r="T58" s="220"/>
      <c r="U58" s="221" t="s">
        <v>94</v>
      </c>
      <c r="V58" s="222">
        <f ca="1">IF(OR(rF1.CheckWoodenSlab04,rF1.CheckBendingMomentSlabTop,rF1.CheckSlabExisting04=0,INDEX(rF1.DesignTotalLineLoad,1,4)=0,INDEX(rF1.PositioningLineLoad,1,4)=0),-5,rF1.PlotHeightFirstFloor+IF(rF1.CheckSlabExisting03,MAX(INDEX(rF1.SlabThickness,1,1),INDEX(rF1.SlabThickness,1,3)),INDEX(rF1.SlabThickness,1,1))+rF1.WallHeight02+INDEX(rF1.SlabThickness,1,4)+INDEX(rF1.DesignTotalLineLoad,1,4)*rF1.PlotFactorLineLoad)</f>
        <v>-5</v>
      </c>
      <c r="W58" s="222">
        <f ca="1">IF(OR(rF1.CheckWoodenSlab04,rF1.CheckBendingMomentSlabTop,rF1.CheckSlabExisting04=0,INDEX(rF1.DesignTotalLineLoad,1,4)=0,INDEX(rF1.PositioningLineLoad,1,4)=0),-5,rF1.PlotHeightFirstFloor+IF(rF1.CheckSlabExisting03,MAX(INDEX(rF1.SlabThickness,1,1),INDEX(rF1.SlabThickness,1,3)),INDEX(rF1.SlabThickness,1,1))+rF1.WallHeight02+INDEX(rF1.SlabThickness,1,4))</f>
        <v>-5</v>
      </c>
      <c r="X58" s="223"/>
      <c r="Y58" s="224" t="s">
        <v>94</v>
      </c>
      <c r="Z58" s="222">
        <f ca="1">IF(AND(rF1.CheckSlabExisting04,INDEX(rF1.SlabBearingType,1,4)=rP1.CheckwordFixed),rF1.PlotHeightFirstFloor+IF(rF1.CheckSlabExisting03,MAX(INDEX(rF1.SlabThickness,1,1),INDEX(rF1.SlabThickness,1,3)),INDEX(rF1.SlabThickness,1,1))+rF1.WallHeight02,-5)</f>
        <v>3.8449999999999998</v>
      </c>
      <c r="AA58" s="225">
        <f ca="1">IF(AND(rF1.CheckSlabExisting04,OR(INDEX(rF1.SlabBearingType,1,4)=rP1.CheckwordHinged,rF1.CheckWoodenSlab04=1)),rF1.PlotHeightFirstFloor+IF(rF1.CheckSlabExisting03,MAX(INDEX(rF1.SlabThickness,1,1),INDEX(rF1.SlabThickness,1,3)),INDEX(rF1.SlabThickness,1,1))+rF1.WallHeight02,-5)</f>
        <v>-5</v>
      </c>
      <c r="AB58" s="226"/>
      <c r="AC58" s="222"/>
      <c r="AD58" s="222"/>
      <c r="AE58" s="222"/>
      <c r="AF58" s="222"/>
      <c r="AG58" s="222"/>
      <c r="AH58" s="222"/>
      <c r="AI58" s="222"/>
      <c r="AJ58" s="225"/>
      <c r="AK58" s="118"/>
    </row>
    <row r="59" spans="5:40" ht="17.25" thickTop="1" thickBot="1" x14ac:dyDescent="0.25">
      <c r="K59" s="227" t="s">
        <v>234</v>
      </c>
      <c r="L59" s="185" t="s">
        <v>7</v>
      </c>
      <c r="M59" s="376">
        <v>0</v>
      </c>
      <c r="N59" s="377">
        <v>4.05</v>
      </c>
      <c r="O59" s="377">
        <v>0</v>
      </c>
      <c r="P59" s="378">
        <v>2.0299999999999998</v>
      </c>
      <c r="Q59" s="129"/>
      <c r="AJ59" s="118"/>
    </row>
    <row r="60" spans="5:40" ht="16.5" thickTop="1" x14ac:dyDescent="0.2">
      <c r="K60" s="218" t="s">
        <v>235</v>
      </c>
      <c r="L60" s="146"/>
      <c r="M60" s="228">
        <f>rF1.DeadLoadDesign+rF1.LiveLoadDesign</f>
        <v>0</v>
      </c>
      <c r="N60" s="228">
        <f>rF1.DeadLoadDesign+rF1.LiveLoadDesign</f>
        <v>13.3</v>
      </c>
      <c r="O60" s="228">
        <f>rF1.DeadLoadDesign+rF1.LiveLoadDesign</f>
        <v>0</v>
      </c>
      <c r="P60" s="228">
        <f>rF1.DeadLoadDesign+rF1.LiveLoadDesign</f>
        <v>11.28</v>
      </c>
      <c r="Q60" s="131"/>
      <c r="S60" s="149" t="s">
        <v>118</v>
      </c>
      <c r="T60" s="229"/>
      <c r="U60" s="229"/>
      <c r="V60" s="229"/>
      <c r="W60" s="229"/>
      <c r="X60" s="229"/>
      <c r="Y60" s="229"/>
      <c r="Z60" s="151"/>
      <c r="AA60" s="151"/>
      <c r="AB60" s="151"/>
      <c r="AC60" s="230" t="s">
        <v>137</v>
      </c>
      <c r="AD60" s="231" t="s">
        <v>95</v>
      </c>
      <c r="AE60" s="232" t="s">
        <v>94</v>
      </c>
      <c r="AF60" s="151"/>
      <c r="AG60" s="151"/>
      <c r="AH60" s="151"/>
      <c r="AI60" s="151"/>
      <c r="AJ60" s="152"/>
      <c r="AK60" s="118"/>
    </row>
    <row r="61" spans="5:40" ht="15" thickBot="1" x14ac:dyDescent="0.25">
      <c r="K61" s="142" t="s">
        <v>236</v>
      </c>
      <c r="L61" s="142"/>
      <c r="M61" s="143" t="s">
        <v>255</v>
      </c>
      <c r="N61" s="143" t="s">
        <v>256</v>
      </c>
      <c r="O61" s="143" t="s">
        <v>257</v>
      </c>
      <c r="P61" s="143" t="s">
        <v>258</v>
      </c>
      <c r="Q61" s="192"/>
      <c r="S61" s="155"/>
      <c r="AC61" s="233"/>
      <c r="AD61" s="198">
        <v>0</v>
      </c>
      <c r="AE61" s="186">
        <v>0</v>
      </c>
      <c r="AJ61" s="178"/>
    </row>
    <row r="62" spans="5:40" ht="15.75" thickTop="1" thickBot="1" x14ac:dyDescent="0.25">
      <c r="K62" s="234" t="s">
        <v>237</v>
      </c>
      <c r="L62" s="235"/>
      <c r="M62" s="379">
        <v>0</v>
      </c>
      <c r="N62" s="379">
        <v>0</v>
      </c>
      <c r="O62" s="379">
        <v>0</v>
      </c>
      <c r="P62" s="379">
        <v>0</v>
      </c>
      <c r="Q62" s="236"/>
      <c r="S62" s="155"/>
      <c r="AC62" s="233"/>
      <c r="AD62" s="209">
        <f ca="1">IF(rF1.CheckWoodenSlabCalc,0,rF1.MomentWindBottom)</f>
        <v>-0.52470187499999998</v>
      </c>
      <c r="AE62" s="204">
        <v>0</v>
      </c>
      <c r="AJ62" s="178"/>
    </row>
    <row r="63" spans="5:40" ht="15.75" thickTop="1" thickBot="1" x14ac:dyDescent="0.25">
      <c r="K63" s="227" t="s">
        <v>238</v>
      </c>
      <c r="L63" s="185"/>
      <c r="M63" s="379">
        <v>0</v>
      </c>
      <c r="N63" s="379">
        <v>0</v>
      </c>
      <c r="O63" s="379">
        <v>0</v>
      </c>
      <c r="P63" s="379">
        <v>0</v>
      </c>
      <c r="Q63" s="129"/>
      <c r="S63" s="155"/>
      <c r="T63" s="156" t="s">
        <v>196</v>
      </c>
      <c r="U63" s="157"/>
      <c r="V63" s="237">
        <v>0</v>
      </c>
      <c r="W63" s="237">
        <v>1</v>
      </c>
      <c r="X63" s="237">
        <v>2</v>
      </c>
      <c r="Y63" s="157">
        <v>3</v>
      </c>
      <c r="AC63" s="238">
        <v>1</v>
      </c>
      <c r="AD63" s="209">
        <f t="shared" ref="AD63:AD82" ca="1" si="0">IF(rF1.CheckWoodenSlabCalc,0,rF1.MomentWindBottom+(rF1.MomentWindTop-rF1.MomentWindBottom)/MAX(rF1.PlotMomentDotsWind)*rF1.PlotMomentDotsWind+ABS(rF1.WindLoadDesign)/2*(rF1.WallHeight02*rF1.PlotHeightDotsWind-rF1.PlotHeightDotsWind^2)*MAX(rF1.SlabInfluenceWidth)/rF1.WallLenght02)</f>
        <v>-0.32531516250000003</v>
      </c>
      <c r="AE63" s="204">
        <f t="shared" ref="AE63:AE82" si="1">rF1.WallHeight02*(rF1.PlotMomentDotsWind)/MAX(rF1.PlotMomentDotsWind)</f>
        <v>0.13225000000000001</v>
      </c>
      <c r="AJ63" s="178"/>
    </row>
    <row r="64" spans="5:40" ht="15.75" thickTop="1" thickBot="1" x14ac:dyDescent="0.25">
      <c r="K64" s="227" t="s">
        <v>239</v>
      </c>
      <c r="L64" s="185"/>
      <c r="M64" s="239">
        <f>rF1.DesignLineDeadLoad+rF1.DesignLineLiveLoad</f>
        <v>0</v>
      </c>
      <c r="N64" s="239">
        <f>rF1.DesignLineDeadLoad+rF1.DesignLineLiveLoad</f>
        <v>0</v>
      </c>
      <c r="O64" s="239">
        <f>rF1.DesignLineDeadLoad+rF1.DesignLineLiveLoad</f>
        <v>0</v>
      </c>
      <c r="P64" s="239">
        <f>rF1.DesignLineDeadLoad+rF1.DesignLineLiveLoad</f>
        <v>0</v>
      </c>
      <c r="Q64" s="129"/>
      <c r="S64" s="155"/>
      <c r="T64" s="240"/>
      <c r="U64" s="241" t="s">
        <v>95</v>
      </c>
      <c r="V64" s="242">
        <v>0</v>
      </c>
      <c r="W64" s="242">
        <f ca="1">IF(rF1.CheckWoodenSlabCalc,0,rF1.BendingMomentDecBottom)</f>
        <v>-0.5791532100669522</v>
      </c>
      <c r="X64" s="242">
        <f ca="1">IF(rF1.CheckWoodenSlabCalc,0,rF1.BendingMomentDecTop)</f>
        <v>-0.5791532100669522</v>
      </c>
      <c r="Y64" s="243">
        <v>0</v>
      </c>
      <c r="AC64" s="238">
        <v>2</v>
      </c>
      <c r="AD64" s="209">
        <f t="shared" ca="1" si="0"/>
        <v>-0.14691652499999991</v>
      </c>
      <c r="AE64" s="204">
        <f t="shared" si="1"/>
        <v>0.26450000000000001</v>
      </c>
      <c r="AJ64" s="178"/>
    </row>
    <row r="65" spans="5:36" ht="15.75" thickTop="1" thickBot="1" x14ac:dyDescent="0.25">
      <c r="E65" s="145">
        <f ca="1">INDEX(rF1.SlabSpanPerpendicular,1,1)+MAX(INDEX(rF1.WallThickness,1,1),rF1.WallThickness02)/2</f>
        <v>7.75</v>
      </c>
      <c r="F65" s="145">
        <f ca="1">INDEX(rF1.SlabSpanPerpendicular,1,2)+MAX(INDEX(rF1.WallThickness,1,3),rF1.WallThickness02)/2</f>
        <v>7.0875000000000004</v>
      </c>
      <c r="G65" s="145">
        <f ca="1">INDEX(rF1.SlabSpanPerpendicular,1,3)+MAX(INDEX(rF1.WallThickness,1,1),rF1.WallThickness02)/2</f>
        <v>4.75</v>
      </c>
      <c r="H65" s="145">
        <f ca="1">INDEX(rF1.SlabSpanPerpendicular,1,4)+MAX(INDEX(rF1.WallThickness,1,3),rF1.WallThickness02)/2</f>
        <v>4.0875000000000004</v>
      </c>
      <c r="K65" s="244" t="s">
        <v>240</v>
      </c>
      <c r="L65" s="187"/>
      <c r="M65" s="86">
        <v>0</v>
      </c>
      <c r="N65" s="86">
        <v>0</v>
      </c>
      <c r="O65" s="86">
        <v>0</v>
      </c>
      <c r="P65" s="86">
        <v>0</v>
      </c>
      <c r="Q65" s="153"/>
      <c r="S65" s="155"/>
      <c r="T65" s="166"/>
      <c r="U65" s="167" t="s">
        <v>94</v>
      </c>
      <c r="V65" s="245">
        <v>0</v>
      </c>
      <c r="W65" s="245">
        <v>0</v>
      </c>
      <c r="X65" s="245">
        <f>rF1.WallHeight02</f>
        <v>2.645</v>
      </c>
      <c r="Y65" s="246">
        <f>rF1.WallHeight02</f>
        <v>2.645</v>
      </c>
      <c r="AC65" s="238">
        <v>3</v>
      </c>
      <c r="AD65" s="209">
        <f t="shared" ca="1" si="0"/>
        <v>1.0494037499999997E-2</v>
      </c>
      <c r="AE65" s="204">
        <f t="shared" si="1"/>
        <v>0.39675000000000005</v>
      </c>
      <c r="AJ65" s="178"/>
    </row>
    <row r="66" spans="5:36" ht="15.75" thickTop="1" thickBot="1" x14ac:dyDescent="0.25">
      <c r="K66" s="142" t="s">
        <v>241</v>
      </c>
      <c r="L66" s="142"/>
      <c r="M66" s="143" t="s">
        <v>259</v>
      </c>
      <c r="N66" s="143" t="s">
        <v>260</v>
      </c>
      <c r="O66" s="143" t="s">
        <v>261</v>
      </c>
      <c r="P66" s="143" t="s">
        <v>473</v>
      </c>
      <c r="Q66" s="247"/>
      <c r="S66" s="155"/>
      <c r="AC66" s="238">
        <v>4</v>
      </c>
      <c r="AD66" s="209">
        <f t="shared" ca="1" si="0"/>
        <v>0.14691652499999996</v>
      </c>
      <c r="AE66" s="204">
        <f t="shared" si="1"/>
        <v>0.52900000000000003</v>
      </c>
      <c r="AJ66" s="178"/>
    </row>
    <row r="67" spans="5:36" ht="17.25" thickTop="1" thickBot="1" x14ac:dyDescent="0.25">
      <c r="K67" s="235" t="s">
        <v>242</v>
      </c>
      <c r="L67" s="235" t="s">
        <v>62</v>
      </c>
      <c r="M67" s="396">
        <v>825</v>
      </c>
      <c r="N67" s="397">
        <v>313.5</v>
      </c>
      <c r="O67" s="398">
        <f>rF1.WallAxForceDeadTop+rF1.WallAxForceLiveTop</f>
        <v>1138.5</v>
      </c>
      <c r="P67" s="252">
        <f>(rF1.WallAxForceDeadTop+rF1.WallAxForceLiveTop)/rF1.WallLenght02</f>
        <v>379.5</v>
      </c>
      <c r="Q67" s="236"/>
      <c r="S67" s="249"/>
      <c r="T67" s="158" t="s">
        <v>119</v>
      </c>
      <c r="U67" s="162" t="s">
        <v>93</v>
      </c>
      <c r="V67" s="250">
        <f ca="1">IF(AND(rF1.BendingMomentDecBottom=0,rF1.BendingMomentDecTop=0),1,MAX(ABS(rF1.BendingMomentDecBottom),ABS(rF1.BendingMomentDecTop),0.5)*rF1.PlotOutlineFactor02)</f>
        <v>0.66602619157699494</v>
      </c>
      <c r="W67" s="251">
        <f ca="1">-IF(AND(rF1.BendingMomentDecBottom=0,rF1.BendingMomentDecTop=0),1,MAX(ABS(rF1.BendingMomentDecBottom),ABS(rF1.BendingMomentDecTop),0.5)*rF1.PlotOutlineFactor02)</f>
        <v>-0.66602619157699494</v>
      </c>
      <c r="AC67" s="238">
        <v>5</v>
      </c>
      <c r="AD67" s="209">
        <f t="shared" ca="1" si="0"/>
        <v>0.26235093750000016</v>
      </c>
      <c r="AE67" s="204">
        <f t="shared" si="1"/>
        <v>0.66125</v>
      </c>
      <c r="AJ67" s="178"/>
    </row>
    <row r="68" spans="5:36" ht="17.25" thickTop="1" thickBot="1" x14ac:dyDescent="0.25">
      <c r="K68" s="146" t="s">
        <v>243</v>
      </c>
      <c r="L68" s="146" t="s">
        <v>33</v>
      </c>
      <c r="M68" s="392">
        <v>700</v>
      </c>
      <c r="N68" s="393">
        <v>250</v>
      </c>
      <c r="O68" s="254">
        <f ca="1">IF(rF1.CheckAxForceCalculation,(rF1.WallAxForceDeadTop+rF1.WallAxForceLiveTop+rF1.WallAxForceDeadCalcBottom)/2,rF1.WallAxForceDeadMiddleInput+rF1.WallAxForceLiveMiddleInput)</f>
        <v>1150.3223069062501</v>
      </c>
      <c r="P68" s="252">
        <f ca="1">rF1.WallAxForceDeadCalcMiddle/rF1.WallLenght02</f>
        <v>383.44076896875004</v>
      </c>
      <c r="Q68" s="131"/>
      <c r="S68" s="202" t="s">
        <v>123</v>
      </c>
      <c r="T68" s="189">
        <v>1.1499999999999999</v>
      </c>
      <c r="U68" s="167" t="s">
        <v>94</v>
      </c>
      <c r="V68" s="253">
        <f>rF1.WallHeight02</f>
        <v>2.645</v>
      </c>
      <c r="W68" s="246">
        <f>rF1.WallHeight02</f>
        <v>2.645</v>
      </c>
      <c r="AC68" s="238">
        <v>6</v>
      </c>
      <c r="AD68" s="209">
        <f t="shared" ca="1" si="0"/>
        <v>0.35679727499999991</v>
      </c>
      <c r="AE68" s="204">
        <f t="shared" si="1"/>
        <v>0.79350000000000009</v>
      </c>
      <c r="AJ68" s="178"/>
    </row>
    <row r="69" spans="5:36" ht="15" customHeight="1" thickTop="1" thickBot="1" x14ac:dyDescent="0.25">
      <c r="K69" s="185" t="s">
        <v>244</v>
      </c>
      <c r="L69" s="185" t="s">
        <v>34</v>
      </c>
      <c r="M69" s="394">
        <v>700</v>
      </c>
      <c r="N69" s="393">
        <v>250</v>
      </c>
      <c r="O69" s="255">
        <f ca="1">IF(rF1.CheckAxForceCalculation,rF1.WallAxForceDeadTop+rF1.WallAxForceLiveTop+rF1.WallHeight02*rF1.WallWeight02*rF1.WallLenght02*rP1.Gravitation*rF1.SafetyFactorDeadLoad/1000,rF1.WallAxForceDeadBottomInput+rF1.WallAxForceLiveBottomInput)</f>
        <v>1162.1446138125</v>
      </c>
      <c r="P69" s="256">
        <f ca="1">rF1.WallAxForceDeadCalcBottom/rF1.WallLenght02</f>
        <v>387.38153793750001</v>
      </c>
      <c r="Q69" s="129"/>
      <c r="S69" s="155"/>
      <c r="AC69" s="238">
        <v>7</v>
      </c>
      <c r="AD69" s="209">
        <f t="shared" ca="1" si="0"/>
        <v>0.4302555374999999</v>
      </c>
      <c r="AE69" s="204">
        <f t="shared" si="1"/>
        <v>0.92575000000000007</v>
      </c>
      <c r="AJ69" s="178"/>
    </row>
    <row r="70" spans="5:36" ht="15" customHeight="1" thickTop="1" x14ac:dyDescent="0.2">
      <c r="G70" s="64" t="b">
        <v>1</v>
      </c>
      <c r="H70" s="212">
        <f ca="1">OFFSET(rD4.SafetyFactorDeadLoadList,rF1.SafetyFactorDeadLoadSelection-1,0,1,1)</f>
        <v>1.35</v>
      </c>
      <c r="K70" s="146"/>
      <c r="L70" s="146"/>
      <c r="M70" s="257"/>
      <c r="N70" s="257"/>
      <c r="O70" s="258" t="str">
        <f>rP2.OutputSafetyFacotrWall</f>
        <v>Teilsicherheitsbeiwert für Eigengewicht Wand =</v>
      </c>
      <c r="P70" s="258"/>
      <c r="Q70" s="131"/>
      <c r="S70" s="155"/>
      <c r="T70" s="158" t="s">
        <v>117</v>
      </c>
      <c r="U70" s="162" t="s">
        <v>93</v>
      </c>
      <c r="V70" s="250">
        <v>0</v>
      </c>
      <c r="W70" s="251">
        <v>0</v>
      </c>
      <c r="AC70" s="238">
        <v>8</v>
      </c>
      <c r="AD70" s="209">
        <f t="shared" ca="1" si="0"/>
        <v>0.48272572499999999</v>
      </c>
      <c r="AE70" s="204">
        <f t="shared" si="1"/>
        <v>1.0580000000000001</v>
      </c>
      <c r="AJ70" s="178"/>
    </row>
    <row r="71" spans="5:36" ht="15" customHeight="1" thickBot="1" x14ac:dyDescent="0.25">
      <c r="K71" s="142" t="s">
        <v>570</v>
      </c>
      <c r="L71" s="142"/>
      <c r="M71" s="143"/>
      <c r="N71" s="143"/>
      <c r="O71" s="143"/>
      <c r="P71" s="143"/>
      <c r="Q71" s="192"/>
      <c r="S71" s="155"/>
      <c r="T71" s="191"/>
      <c r="U71" s="167" t="s">
        <v>94</v>
      </c>
      <c r="V71" s="253">
        <v>0</v>
      </c>
      <c r="W71" s="246">
        <f>rF1.WallHeight02</f>
        <v>2.645</v>
      </c>
      <c r="AC71" s="238">
        <v>9</v>
      </c>
      <c r="AD71" s="209">
        <f t="shared" ca="1" si="0"/>
        <v>0.51420783749999999</v>
      </c>
      <c r="AE71" s="204">
        <f t="shared" si="1"/>
        <v>1.19025</v>
      </c>
      <c r="AJ71" s="178"/>
    </row>
    <row r="72" spans="5:36" ht="17.25" thickTop="1" thickBot="1" x14ac:dyDescent="0.25">
      <c r="K72" s="187" t="s">
        <v>245</v>
      </c>
      <c r="L72" s="187" t="s">
        <v>35</v>
      </c>
      <c r="M72" s="104">
        <v>0.96</v>
      </c>
      <c r="N72" s="260" t="s">
        <v>574</v>
      </c>
      <c r="O72" s="153"/>
      <c r="P72" s="261" t="s">
        <v>483</v>
      </c>
      <c r="Q72" s="153"/>
      <c r="S72" s="155"/>
      <c r="AC72" s="238">
        <v>10</v>
      </c>
      <c r="AD72" s="209">
        <f t="shared" ca="1" si="0"/>
        <v>0.52470187499999998</v>
      </c>
      <c r="AE72" s="204">
        <f t="shared" si="1"/>
        <v>1.3225</v>
      </c>
      <c r="AJ72" s="178"/>
    </row>
    <row r="73" spans="5:36" ht="15" customHeight="1" thickTop="1" x14ac:dyDescent="0.2">
      <c r="K73" s="137" t="s">
        <v>469</v>
      </c>
      <c r="L73" s="138"/>
      <c r="M73" s="138"/>
      <c r="N73" s="138"/>
      <c r="O73" s="138"/>
      <c r="P73" s="138"/>
      <c r="Q73" s="138"/>
      <c r="S73" s="155"/>
      <c r="AC73" s="238">
        <v>11</v>
      </c>
      <c r="AD73" s="209">
        <f t="shared" ca="1" si="0"/>
        <v>0.51420783749999999</v>
      </c>
      <c r="AE73" s="204">
        <f t="shared" si="1"/>
        <v>1.45475</v>
      </c>
      <c r="AJ73" s="259"/>
    </row>
    <row r="74" spans="5:36" ht="15" customHeight="1" x14ac:dyDescent="0.2">
      <c r="K74" s="140" t="s">
        <v>246</v>
      </c>
      <c r="L74" s="140"/>
      <c r="M74" s="262" t="s">
        <v>262</v>
      </c>
      <c r="N74" s="262" t="s">
        <v>263</v>
      </c>
      <c r="O74" s="262" t="s">
        <v>264</v>
      </c>
      <c r="P74" s="140"/>
      <c r="Q74" s="141"/>
      <c r="S74" s="155"/>
      <c r="AC74" s="238">
        <v>12</v>
      </c>
      <c r="AD74" s="209">
        <f t="shared" ca="1" si="0"/>
        <v>0.48272572499999999</v>
      </c>
      <c r="AE74" s="204">
        <f t="shared" si="1"/>
        <v>1.5870000000000002</v>
      </c>
      <c r="AJ74" s="259"/>
    </row>
    <row r="75" spans="5:36" ht="15" customHeight="1" x14ac:dyDescent="0.2">
      <c r="G75" s="145">
        <f ca="1">IF(OR(AND(rF1.CheckWoodenSlab01,rF1.CheckBendingMomentSlabBottom=FALSE),AND(rF1.CheckWoodenSlab02,rF1.CheckBendingMomentSlabTop=FALSE)),1,0)</f>
        <v>0</v>
      </c>
      <c r="K75" s="142" t="s">
        <v>247</v>
      </c>
      <c r="L75" s="142"/>
      <c r="M75" s="263" t="str">
        <f ca="1">IF(rF1.CheckWoodenSlabCalc,rP2.OutputEccentricityWoodenSlab,"")</f>
        <v/>
      </c>
      <c r="N75" s="143"/>
      <c r="O75" s="143"/>
      <c r="P75" s="143"/>
      <c r="Q75" s="192"/>
      <c r="S75" s="155"/>
      <c r="AC75" s="238">
        <v>13</v>
      </c>
      <c r="AD75" s="209">
        <f t="shared" ca="1" si="0"/>
        <v>0.43025553749999967</v>
      </c>
      <c r="AE75" s="204">
        <f t="shared" si="1"/>
        <v>1.7192499999999999</v>
      </c>
      <c r="AJ75" s="259"/>
    </row>
    <row r="76" spans="5:36" ht="15.75" x14ac:dyDescent="0.2">
      <c r="K76" s="146" t="s">
        <v>248</v>
      </c>
      <c r="L76" s="146" t="s">
        <v>107</v>
      </c>
      <c r="M76" s="264">
        <f>rF1.WallAxForceTop</f>
        <v>379.5</v>
      </c>
      <c r="N76" s="264">
        <f ca="1">rF1.WallAxForceMiddle</f>
        <v>383.44076896875004</v>
      </c>
      <c r="O76" s="264">
        <f ca="1">rF1.WallAxForceBottom</f>
        <v>387.38153793750001</v>
      </c>
      <c r="P76" s="265"/>
      <c r="Q76" s="265"/>
      <c r="S76" s="155"/>
      <c r="AC76" s="238">
        <v>14</v>
      </c>
      <c r="AD76" s="209">
        <f t="shared" ca="1" si="0"/>
        <v>0.3567972749999998</v>
      </c>
      <c r="AE76" s="204">
        <f t="shared" si="1"/>
        <v>1.8515000000000001</v>
      </c>
      <c r="AJ76" s="259"/>
    </row>
    <row r="77" spans="5:36" ht="15.75" x14ac:dyDescent="0.2">
      <c r="K77" s="266" t="s">
        <v>595</v>
      </c>
      <c r="L77" s="266" t="s">
        <v>596</v>
      </c>
      <c r="M77" s="267">
        <f ca="1">rF1.EccentricityTotalTop*rF1.WallAxForceTop</f>
        <v>4.5540000000000003</v>
      </c>
      <c r="N77" s="267">
        <f ca="1">rF1.EccentricityTotalMiddle*rF1.WallAxForceMiddle</f>
        <v>3.3551067284765623</v>
      </c>
      <c r="O77" s="267">
        <f ca="1">rF1.EccentricityTotalBottom*rF1.WallAxForceBottom</f>
        <v>4.64857845525</v>
      </c>
      <c r="P77" s="268"/>
      <c r="Q77" s="268"/>
      <c r="S77" s="155"/>
      <c r="AC77" s="238">
        <v>15</v>
      </c>
      <c r="AD77" s="209">
        <f t="shared" ca="1" si="0"/>
        <v>0.26235093750000016</v>
      </c>
      <c r="AE77" s="204">
        <f t="shared" si="1"/>
        <v>1.9837499999999999</v>
      </c>
      <c r="AJ77" s="259"/>
    </row>
    <row r="78" spans="5:36" x14ac:dyDescent="0.2">
      <c r="K78" s="142" t="s">
        <v>249</v>
      </c>
      <c r="L78" s="142"/>
      <c r="M78" s="263" t="str">
        <f ca="1">IF(rF1.CheckWoodenSlabCalc,rP2.OutputEccentricityWoodenSlab,"")</f>
        <v/>
      </c>
      <c r="N78" s="143"/>
      <c r="O78" s="143"/>
      <c r="P78" s="143"/>
      <c r="Q78" s="192"/>
      <c r="R78" s="117"/>
      <c r="S78" s="155"/>
      <c r="AC78" s="238">
        <v>16</v>
      </c>
      <c r="AD78" s="209">
        <f t="shared" ca="1" si="0"/>
        <v>0.14691652499999996</v>
      </c>
      <c r="AE78" s="204">
        <f t="shared" si="1"/>
        <v>2.1160000000000001</v>
      </c>
      <c r="AJ78" s="259"/>
    </row>
    <row r="79" spans="5:36" ht="15.75" x14ac:dyDescent="0.2">
      <c r="K79" s="146" t="s">
        <v>554</v>
      </c>
      <c r="L79" s="146" t="s">
        <v>108</v>
      </c>
      <c r="M79" s="271">
        <f ca="1">rF1.EccentricityTotalTop</f>
        <v>1.2E-2</v>
      </c>
      <c r="N79" s="271">
        <f ca="1">rF1.EccentricityTotalMiddle</f>
        <v>8.7499999999999991E-3</v>
      </c>
      <c r="O79" s="271">
        <f ca="1">rF1.EccentricityTotalBottom</f>
        <v>1.2E-2</v>
      </c>
      <c r="P79" s="265"/>
      <c r="Q79" s="265"/>
      <c r="R79" s="117"/>
      <c r="S79" s="155"/>
      <c r="AC79" s="238">
        <v>17</v>
      </c>
      <c r="AD79" s="209">
        <f t="shared" ca="1" si="0"/>
        <v>1.0494037500000442E-2</v>
      </c>
      <c r="AE79" s="204">
        <f t="shared" si="1"/>
        <v>2.2482500000000001</v>
      </c>
      <c r="AJ79" s="259"/>
    </row>
    <row r="80" spans="5:36" ht="15" customHeight="1" x14ac:dyDescent="0.2">
      <c r="K80" s="266" t="s">
        <v>250</v>
      </c>
      <c r="L80" s="272" t="s">
        <v>109</v>
      </c>
      <c r="M80" s="273">
        <f ca="1">rF1.ReductionEccentricityTop</f>
        <v>0.9</v>
      </c>
      <c r="N80" s="273">
        <f ca="1">rF1.ReductionEccentricityMiddle</f>
        <v>0.75262260492700495</v>
      </c>
      <c r="O80" s="273">
        <f ca="1">rF1.ReductionEccentricityBottom</f>
        <v>0.9</v>
      </c>
      <c r="P80" s="268"/>
      <c r="Q80" s="268"/>
      <c r="S80" s="155"/>
      <c r="W80" s="269"/>
      <c r="X80" s="158" t="s">
        <v>119</v>
      </c>
      <c r="Y80" s="162" t="s">
        <v>93</v>
      </c>
      <c r="Z80" s="250">
        <f ca="1">MAX(ABS(rF1.MomentWindTop),ABS(rF1.MomentWindMiddle),0.5)*rF1.PlotOutlineFactor03</f>
        <v>0.60340715624999997</v>
      </c>
      <c r="AA80" s="251">
        <f ca="1">-MAX(ABS(rF1.MomentWindTop),ABS(rF1.MomentWindMiddle),0.5)*rF1.PlotOutlineFactor03</f>
        <v>-0.60340715624999997</v>
      </c>
      <c r="AC80" s="238">
        <v>18</v>
      </c>
      <c r="AD80" s="209">
        <f t="shared" ca="1" si="0"/>
        <v>-0.14691652500000008</v>
      </c>
      <c r="AE80" s="204">
        <f t="shared" si="1"/>
        <v>2.3805000000000001</v>
      </c>
      <c r="AJ80" s="259"/>
    </row>
    <row r="81" spans="11:36" ht="15" customHeight="1" x14ac:dyDescent="0.2">
      <c r="K81" s="276" t="s">
        <v>251</v>
      </c>
      <c r="L81" s="276" t="s">
        <v>590</v>
      </c>
      <c r="M81" s="277">
        <f ca="1">rF1.AxResistanceTop</f>
        <v>316.2</v>
      </c>
      <c r="N81" s="277">
        <f ca="1">rF1.AxResistanceMiddle</f>
        <v>192.80727705386948</v>
      </c>
      <c r="O81" s="277">
        <f ca="1">rF1.AxResistanceBottom</f>
        <v>316.2</v>
      </c>
      <c r="P81" s="265"/>
      <c r="Q81" s="265"/>
      <c r="R81" s="117"/>
      <c r="S81" s="155"/>
      <c r="W81" s="270" t="s">
        <v>123</v>
      </c>
      <c r="X81" s="189">
        <v>1.1499999999999999</v>
      </c>
      <c r="Y81" s="167" t="s">
        <v>94</v>
      </c>
      <c r="Z81" s="253">
        <f>rF1.WallHeight02</f>
        <v>2.645</v>
      </c>
      <c r="AA81" s="246">
        <f>rF1.WallHeight02</f>
        <v>2.645</v>
      </c>
      <c r="AC81" s="238">
        <v>19</v>
      </c>
      <c r="AD81" s="209">
        <f t="shared" ca="1" si="0"/>
        <v>-0.32531516250000037</v>
      </c>
      <c r="AE81" s="204">
        <f t="shared" si="1"/>
        <v>2.51275</v>
      </c>
      <c r="AJ81" s="259"/>
    </row>
    <row r="82" spans="11:36" ht="15" customHeight="1" x14ac:dyDescent="0.2">
      <c r="K82" s="278" t="s">
        <v>252</v>
      </c>
      <c r="L82" s="279" t="s">
        <v>110</v>
      </c>
      <c r="M82" s="280">
        <f ca="1">rF1.LoadFactorTop</f>
        <v>1.2001897533206831</v>
      </c>
      <c r="N82" s="280">
        <f ca="1">rF1.LoadFactorMiddle</f>
        <v>1.9887256063557104</v>
      </c>
      <c r="O82" s="280">
        <f ca="1">rF1.LoadFactorBottom</f>
        <v>1.2251155532495257</v>
      </c>
      <c r="P82" s="281"/>
      <c r="Q82" s="281"/>
      <c r="R82" s="117"/>
      <c r="S82" s="155"/>
      <c r="AC82" s="238">
        <v>20</v>
      </c>
      <c r="AD82" s="209">
        <f t="shared" ca="1" si="0"/>
        <v>-0.52470187499999998</v>
      </c>
      <c r="AE82" s="204">
        <f t="shared" si="1"/>
        <v>2.645</v>
      </c>
      <c r="AJ82" s="259"/>
    </row>
    <row r="83" spans="11:36" ht="15" customHeight="1" thickBot="1" x14ac:dyDescent="0.25">
      <c r="K83" s="276"/>
      <c r="L83" s="282"/>
      <c r="M83" s="283" t="str">
        <f ca="1">IF(rF1.LoadFactorTop&lt;=1,rP2.OutputProofFulfilled,IF(rF1.LoadFactorTop&gt;1,rP2.OutputProofNotFulfilled,""))</f>
        <v>NEd &gt; NRd</v>
      </c>
      <c r="N83" s="283" t="str">
        <f ca="1">IF(rF1.LoadFactorMiddle&lt;=1,rP2.OutputProofFulfilled,IF(rF1.LoadFactorMiddle&gt;1,rP2.OutputProofNotFulfilled,""))</f>
        <v>NEd &gt; NRd</v>
      </c>
      <c r="O83" s="283" t="str">
        <f ca="1">IF(rF1.LoadFactorBottom&lt;=1,rP2.OutputProofFulfilled,IF(rF1.LoadFactorBottom&gt;1,rP2.OutputProofNotFulfilled,""))</f>
        <v>NEd &gt; NRd</v>
      </c>
      <c r="P83" s="175"/>
      <c r="Q83" s="175"/>
      <c r="R83" s="117"/>
      <c r="S83" s="219"/>
      <c r="T83" s="222"/>
      <c r="U83" s="222"/>
      <c r="V83" s="222"/>
      <c r="W83" s="222"/>
      <c r="X83" s="222"/>
      <c r="Y83" s="222"/>
      <c r="Z83" s="222"/>
      <c r="AA83" s="222"/>
      <c r="AB83" s="222"/>
      <c r="AC83" s="274"/>
      <c r="AD83" s="224">
        <v>0</v>
      </c>
      <c r="AE83" s="223">
        <f>rF1.WallHeight02</f>
        <v>2.645</v>
      </c>
      <c r="AF83" s="222"/>
      <c r="AG83" s="222"/>
      <c r="AH83" s="222"/>
      <c r="AI83" s="222"/>
      <c r="AJ83" s="275"/>
    </row>
    <row r="84" spans="11:36" ht="15" customHeight="1" x14ac:dyDescent="0.2">
      <c r="K84" s="142" t="s">
        <v>584</v>
      </c>
      <c r="L84" s="142"/>
      <c r="M84" s="381" t="str">
        <f ca="1">IF(rF1.CheckWoodenSlabCalc,rP2.OutputEccentricityWoodenSlab,IF(rF1.CheckFireResManual02,rP2.OutputFireProofManual02,IF(rF1.CheckFireResColumn,rP2.FireProofManual,IF(rF1.LoadFactorTopFireMax=0,rP2.OutputFireResClassFail,""))))</f>
        <v>Für die gewählte Feuerwiderstandsklasse nicht geeignet!</v>
      </c>
      <c r="N84" s="143"/>
      <c r="O84" s="143"/>
      <c r="P84" s="143"/>
      <c r="Q84" s="192"/>
      <c r="R84" s="117"/>
    </row>
    <row r="85" spans="11:36" ht="15" customHeight="1" x14ac:dyDescent="0.2">
      <c r="K85" s="146" t="s">
        <v>526</v>
      </c>
      <c r="L85" s="284" t="s">
        <v>524</v>
      </c>
      <c r="M85" s="285">
        <f ca="1">rF1.LoadFactorTopFireReduced</f>
        <v>0.84013282732447814</v>
      </c>
      <c r="N85" s="285">
        <f ca="1">rF1.LoadFactorMiddleFireReduced</f>
        <v>1.3921079244489971</v>
      </c>
      <c r="O85" s="285">
        <f ca="1">rF1.LoadFactorBottomFireReduced</f>
        <v>0.85758088727466797</v>
      </c>
      <c r="P85" s="175"/>
      <c r="Q85" s="175"/>
      <c r="R85" s="117"/>
    </row>
    <row r="86" spans="11:36" ht="15" customHeight="1" x14ac:dyDescent="0.2">
      <c r="K86" s="266" t="s">
        <v>525</v>
      </c>
      <c r="L86" s="286" t="s">
        <v>489</v>
      </c>
      <c r="M86" s="287">
        <f ca="1">rF1.LoadFactorTopFireMax</f>
        <v>0</v>
      </c>
      <c r="N86" s="287">
        <f ca="1">rF1.LoadFactorMiddleFireMax</f>
        <v>0</v>
      </c>
      <c r="O86" s="287">
        <f ca="1">rF1.LoadFactorBottomFireMax</f>
        <v>0</v>
      </c>
      <c r="P86" s="281"/>
      <c r="Q86" s="281"/>
    </row>
    <row r="87" spans="11:36" ht="15" customHeight="1" x14ac:dyDescent="0.2">
      <c r="K87" s="276" t="s">
        <v>487</v>
      </c>
      <c r="L87" s="282" t="s">
        <v>488</v>
      </c>
      <c r="M87" s="288" t="str">
        <f ca="1">rF1.LoadFactorTopFire</f>
        <v>Inf.</v>
      </c>
      <c r="N87" s="288" t="str">
        <f ca="1">rF1.LoadFactorMiddleFire</f>
        <v>Inf.</v>
      </c>
      <c r="O87" s="288" t="str">
        <f ca="1">rF1.LoadFactorBottomFire</f>
        <v>Inf.</v>
      </c>
      <c r="P87" s="175"/>
      <c r="Q87" s="175"/>
      <c r="R87" s="117"/>
    </row>
    <row r="88" spans="11:36" ht="15" customHeight="1" x14ac:dyDescent="0.2">
      <c r="K88" s="140" t="s">
        <v>253</v>
      </c>
      <c r="L88" s="140"/>
      <c r="M88" s="140"/>
      <c r="N88" s="140"/>
      <c r="O88" s="140"/>
      <c r="P88" s="140"/>
      <c r="Q88" s="141"/>
      <c r="R88" s="117"/>
    </row>
    <row r="89" spans="11:36" ht="15" customHeight="1" x14ac:dyDescent="0.2">
      <c r="K89" s="290" t="s">
        <v>254</v>
      </c>
      <c r="L89" s="291"/>
      <c r="M89" s="292"/>
      <c r="N89" s="293" t="s">
        <v>265</v>
      </c>
      <c r="O89" s="292"/>
      <c r="P89" s="294"/>
      <c r="Q89" s="294"/>
      <c r="R89" s="117"/>
    </row>
    <row r="90" spans="11:36" ht="15" customHeight="1" thickBot="1" x14ac:dyDescent="0.25">
      <c r="K90" s="170"/>
      <c r="L90" s="146"/>
      <c r="M90" s="295"/>
      <c r="N90" s="295"/>
      <c r="O90" s="295"/>
      <c r="P90" s="265"/>
      <c r="Q90" s="265"/>
    </row>
    <row r="91" spans="11:36" ht="15" customHeight="1" x14ac:dyDescent="0.2">
      <c r="K91" s="170"/>
      <c r="L91" s="146"/>
      <c r="M91" s="295"/>
      <c r="N91" s="295"/>
      <c r="O91" s="295"/>
      <c r="P91" s="265"/>
      <c r="Q91" s="265"/>
      <c r="R91" s="409"/>
      <c r="S91" s="149" t="s">
        <v>120</v>
      </c>
      <c r="T91" s="151"/>
      <c r="U91" s="151"/>
      <c r="V91" s="151"/>
      <c r="W91" s="151"/>
      <c r="X91" s="151"/>
      <c r="Y91" s="151"/>
      <c r="Z91" s="151"/>
      <c r="AA91" s="151"/>
      <c r="AB91" s="151"/>
      <c r="AC91" s="151"/>
      <c r="AD91" s="151"/>
      <c r="AE91" s="151"/>
      <c r="AF91" s="151"/>
      <c r="AG91" s="151"/>
      <c r="AH91" s="151"/>
      <c r="AI91" s="289"/>
    </row>
    <row r="92" spans="11:36" ht="15" customHeight="1" x14ac:dyDescent="0.2">
      <c r="K92" s="170"/>
      <c r="L92" s="146"/>
      <c r="M92" s="295"/>
      <c r="N92" s="295"/>
      <c r="O92" s="295"/>
      <c r="P92" s="265"/>
      <c r="Q92" s="265"/>
      <c r="R92" s="117"/>
      <c r="S92" s="155"/>
      <c r="AI92" s="259"/>
    </row>
    <row r="93" spans="11:36" ht="15" customHeight="1" x14ac:dyDescent="0.2">
      <c r="K93" s="170"/>
      <c r="L93" s="146"/>
      <c r="M93" s="295"/>
      <c r="N93" s="295"/>
      <c r="O93" s="295"/>
      <c r="P93" s="265"/>
      <c r="Q93" s="265"/>
      <c r="R93" s="117"/>
      <c r="S93" s="155"/>
      <c r="T93" s="210" t="s">
        <v>96</v>
      </c>
      <c r="U93" s="296">
        <f ca="1">(rF1.BearingDepthTop02-2*0.05*rF1.BearingDepthTop02)*rF1.ReductionMasonryStrenghtArea02*rF1.ReductionMasonryStrengthLongTerm*rF1.MasonryStrenghtChar02/rF1.SafetyFactorMaterial02*1000</f>
        <v>316.2</v>
      </c>
      <c r="X93" s="210" t="s">
        <v>96</v>
      </c>
      <c r="Y93" s="296">
        <f ca="1">(rF1.BearingDepthBottom02-2*0.05*rF1.BearingDepthBottom02)*rF1.ReductionMasonryStrenghtArea02*rF1.ReductionMasonryStrengthLongTerm*rF1.MasonryStrenghtChar02/rF1.SafetyFactorMaterial02*1000</f>
        <v>316.2</v>
      </c>
      <c r="AB93" s="210" t="s">
        <v>96</v>
      </c>
      <c r="AC93" s="297" t="s">
        <v>0</v>
      </c>
      <c r="AI93" s="259"/>
    </row>
    <row r="94" spans="11:36" x14ac:dyDescent="0.2">
      <c r="K94" s="170"/>
      <c r="L94" s="146"/>
      <c r="M94" s="295"/>
      <c r="N94" s="295"/>
      <c r="O94" s="295"/>
      <c r="P94" s="265"/>
      <c r="Q94" s="265"/>
      <c r="R94" s="117"/>
      <c r="S94" s="155"/>
      <c r="T94" s="238" t="s">
        <v>100</v>
      </c>
      <c r="U94" s="233">
        <f>rF1.BearingDepthTop02</f>
        <v>0.24</v>
      </c>
      <c r="X94" s="238" t="s">
        <v>100</v>
      </c>
      <c r="Y94" s="233">
        <f>rF1.BearingDepthBottom02</f>
        <v>0.24</v>
      </c>
      <c r="AB94" s="238" t="s">
        <v>100</v>
      </c>
      <c r="AC94" s="298" t="s">
        <v>0</v>
      </c>
      <c r="AI94" s="259"/>
    </row>
    <row r="95" spans="11:36" x14ac:dyDescent="0.2">
      <c r="K95" s="170"/>
      <c r="L95" s="146"/>
      <c r="M95" s="295"/>
      <c r="N95" s="295"/>
      <c r="O95" s="295"/>
      <c r="P95" s="265"/>
      <c r="Q95" s="265"/>
      <c r="R95" s="117"/>
      <c r="S95" s="155"/>
      <c r="T95" s="238" t="s">
        <v>101</v>
      </c>
      <c r="U95" s="298" t="s">
        <v>0</v>
      </c>
      <c r="X95" s="238" t="s">
        <v>101</v>
      </c>
      <c r="Y95" s="298" t="s">
        <v>0</v>
      </c>
      <c r="AB95" s="238" t="s">
        <v>101</v>
      </c>
      <c r="AC95" s="233">
        <f ca="1">rF1.WallThickness02/2</f>
        <v>8.7499999999999994E-2</v>
      </c>
      <c r="AI95" s="259"/>
    </row>
    <row r="96" spans="11:36" x14ac:dyDescent="0.2">
      <c r="K96" s="170"/>
      <c r="L96" s="146"/>
      <c r="M96" s="295"/>
      <c r="N96" s="295"/>
      <c r="O96" s="295"/>
      <c r="P96" s="265"/>
      <c r="Q96" s="265"/>
      <c r="R96" s="117"/>
      <c r="S96" s="155"/>
      <c r="T96" s="238" t="s">
        <v>105</v>
      </c>
      <c r="U96" s="233">
        <f ca="1">IF(rF1.CheckWoodenSlabCalc,-5,rF1.WallAxForceTop*rF1.EccentricityTotalTop)</f>
        <v>4.5540000000000003</v>
      </c>
      <c r="X96" s="238" t="s">
        <v>105</v>
      </c>
      <c r="Y96" s="233">
        <f ca="1">IF(rF1.CheckWoodenSlabCalc,-5,rF1.WallAxForceBottom*rF1.EccentricityTotalBottom)</f>
        <v>4.64857845525</v>
      </c>
      <c r="AB96" s="238" t="s">
        <v>105</v>
      </c>
      <c r="AC96" s="233">
        <f ca="1">IF(rF1.CheckWoodenSlabCalc,-5,rF1.WallAxForceMiddle*rF1.EccentricityTotalMiddle)</f>
        <v>3.3551067284765623</v>
      </c>
      <c r="AI96" s="259"/>
    </row>
    <row r="97" spans="11:35" x14ac:dyDescent="0.2">
      <c r="K97" s="170"/>
      <c r="L97" s="146"/>
      <c r="M97" s="295"/>
      <c r="N97" s="295"/>
      <c r="O97" s="295"/>
      <c r="P97" s="265"/>
      <c r="Q97" s="265"/>
      <c r="R97" s="117"/>
      <c r="S97" s="155"/>
      <c r="T97" s="211" t="s">
        <v>106</v>
      </c>
      <c r="U97" s="299">
        <f>rF1.WallAxForceTop</f>
        <v>379.5</v>
      </c>
      <c r="X97" s="211" t="s">
        <v>106</v>
      </c>
      <c r="Y97" s="299">
        <f ca="1">rF1.WallAxForceBottom</f>
        <v>387.38153793750001</v>
      </c>
      <c r="AB97" s="211" t="s">
        <v>106</v>
      </c>
      <c r="AC97" s="299">
        <f ca="1">rF1.WallAxForceMiddle</f>
        <v>383.44076896875004</v>
      </c>
      <c r="AI97" s="259"/>
    </row>
    <row r="98" spans="11:35" x14ac:dyDescent="0.2">
      <c r="K98" s="170"/>
      <c r="L98" s="146"/>
      <c r="M98" s="295"/>
      <c r="N98" s="295"/>
      <c r="O98" s="295"/>
      <c r="P98" s="265"/>
      <c r="Q98" s="265"/>
      <c r="R98" s="117"/>
      <c r="S98" s="155"/>
      <c r="AI98" s="259"/>
    </row>
    <row r="99" spans="11:35" x14ac:dyDescent="0.2">
      <c r="K99" s="170"/>
      <c r="L99" s="146"/>
      <c r="M99" s="295"/>
      <c r="N99" s="295"/>
      <c r="O99" s="295"/>
      <c r="P99" s="265"/>
      <c r="Q99" s="265"/>
      <c r="R99" s="117"/>
      <c r="S99" s="155"/>
      <c r="T99" s="134"/>
      <c r="U99" s="156" t="s">
        <v>97</v>
      </c>
      <c r="V99" s="237" t="s">
        <v>98</v>
      </c>
      <c r="W99" s="157" t="s">
        <v>99</v>
      </c>
      <c r="X99" s="134"/>
      <c r="Y99" s="156" t="s">
        <v>97</v>
      </c>
      <c r="Z99" s="237" t="s">
        <v>98</v>
      </c>
      <c r="AA99" s="157" t="s">
        <v>99</v>
      </c>
      <c r="AB99" s="134"/>
      <c r="AC99" s="156" t="s">
        <v>102</v>
      </c>
      <c r="AD99" s="237" t="s">
        <v>103</v>
      </c>
      <c r="AE99" s="237" t="s">
        <v>104</v>
      </c>
      <c r="AF99" s="300" t="s">
        <v>197</v>
      </c>
      <c r="AG99" s="237" t="s">
        <v>97</v>
      </c>
      <c r="AH99" s="157" t="s">
        <v>99</v>
      </c>
      <c r="AI99" s="259"/>
    </row>
    <row r="100" spans="11:35" x14ac:dyDescent="0.2">
      <c r="K100" s="170"/>
      <c r="L100" s="146"/>
      <c r="M100" s="295"/>
      <c r="N100" s="295"/>
      <c r="O100" s="295"/>
      <c r="P100" s="265"/>
      <c r="Q100" s="265"/>
      <c r="R100" s="117"/>
      <c r="S100" s="155"/>
      <c r="T100" s="210">
        <v>0</v>
      </c>
      <c r="U100" s="198">
        <f t="shared" ref="U100:U131" ca="1" si="2">IF(rF1.CheckWoodenSlabCalc,0,rF1.PlotAxForceFactor*rF1.PlotAxResistanceMaxTop)</f>
        <v>0</v>
      </c>
      <c r="V100" s="163">
        <v>0</v>
      </c>
      <c r="W100" s="186">
        <f ca="1">rF1.PlotAxForceTop*rF1.PlotExcentricityTop</f>
        <v>0</v>
      </c>
      <c r="Y100" s="198">
        <f t="shared" ref="Y100:Y131" ca="1" si="3">IF(rF1.CheckWoodenSlabCalc,0,rF1.PlotAxForceFactor*rF1.PlotAxResistanceMaxBottom)</f>
        <v>0</v>
      </c>
      <c r="Z100" s="163">
        <v>0</v>
      </c>
      <c r="AA100" s="186">
        <f ca="1">rF1.PlotAxForceBottom*rF1.PlotExcentricityBottom</f>
        <v>0</v>
      </c>
      <c r="AC100" s="198">
        <f t="shared" ref="AC100:AC132" ca="1" si="4">rF1.PlotAxForceFactor*rF1.PlotExcentricityLoadMax</f>
        <v>0</v>
      </c>
      <c r="AD100" s="163">
        <f t="shared" ref="AD100:AD132" ca="1" si="5">IF(rF1.WallSlenderness02&lt;=rP1.MaxSlendernessCreepEcc,0,0.002*rP1.CreepCoefficient*rF1.WallHeightBuckling/rF1.WallHeight02*SQRT(rF1.WallHeight02*rF1.PlotExcentricityLoadMiddle))</f>
        <v>0</v>
      </c>
      <c r="AE100" s="163">
        <f t="shared" ref="AE100:AE132" ca="1" si="6">MAX(rF1.PlotExcentricityCreepMiddle+rF1.PlotExcentricityLoadMiddle,0.05*rF1.WallThickness02)</f>
        <v>8.7499999999999991E-3</v>
      </c>
      <c r="AF100" s="163">
        <f t="shared" ref="AF100:AF131" ca="1" si="7">MIN(1.14*(1-2*rF1.PlotExcentricityTotalMiddle/rF1.WallThickness02)-0.024*rF1.WallHeightEffective/rF1.WallThickness02,1-2*rF1.PlotExcentricityTotalMiddle/rF1.WallThickness02)</f>
        <v>0.75262260492700495</v>
      </c>
      <c r="AG100" s="163">
        <f t="shared" ref="AG100:AG131" ca="1" si="8">IF(rF1.CheckWoodenSlabCalc,0,rF1.PlotReductionParameterMiddle*rF1.WallThickness02*rF1.ReductionMasonryStrenghtArea02*rF1.ReductionMasonryStrengthLongTerm*rF1.MasonryStrenghtChar02/rF1.SafetyFactorMaterial02*1000)</f>
        <v>192.80727705386954</v>
      </c>
      <c r="AH100" s="186">
        <v>0</v>
      </c>
      <c r="AI100" s="259"/>
    </row>
    <row r="101" spans="11:35" x14ac:dyDescent="0.2">
      <c r="K101" s="170"/>
      <c r="L101" s="146"/>
      <c r="M101" s="295"/>
      <c r="N101" s="295"/>
      <c r="O101" s="295"/>
      <c r="P101" s="265"/>
      <c r="Q101" s="265"/>
      <c r="R101" s="117"/>
      <c r="S101" s="155"/>
      <c r="T101" s="238">
        <v>0</v>
      </c>
      <c r="U101" s="209">
        <f t="shared" ca="1" si="2"/>
        <v>0</v>
      </c>
      <c r="V101" s="118">
        <f t="shared" ref="V101:V132" ca="1" si="9">rF1.PlotWallThicknessNettoTop/2-rF1.PlotAxForceTop*rF1.SafetyFactorMaterial02/(1000*2*rF1.MasonryStrenghtChar02*rF1.ReductionMasonryStrenghtArea02*rF1.ReductionMasonryStrengthLongTerm)</f>
        <v>0.12</v>
      </c>
      <c r="W101" s="204">
        <f ca="1">rF1.PlotAxForceTop*rF1.PlotExcentricityTop</f>
        <v>0</v>
      </c>
      <c r="Y101" s="209">
        <f t="shared" ca="1" si="3"/>
        <v>0</v>
      </c>
      <c r="Z101" s="118">
        <f t="shared" ref="Z101:Z132" ca="1" si="10">rF1.PlotWallThicknessNettoBottom/2-rF1.PlotAxForceBottom*rF1.SafetyFactorMaterial02/(1000*2*rF1.MasonryStrenghtChar02*rF1.ReductionMasonryStrenghtArea02*rF1.ReductionMasonryStrengthLongTerm)</f>
        <v>0.12</v>
      </c>
      <c r="AA101" s="204">
        <f ca="1">rF1.PlotAxForceBottom*rF1.PlotExcentricityBottom</f>
        <v>0</v>
      </c>
      <c r="AC101" s="209">
        <f t="shared" ca="1" si="4"/>
        <v>0</v>
      </c>
      <c r="AD101" s="118">
        <f t="shared" ca="1" si="5"/>
        <v>0</v>
      </c>
      <c r="AE101" s="118">
        <f t="shared" ca="1" si="6"/>
        <v>8.7499999999999991E-3</v>
      </c>
      <c r="AF101" s="118">
        <f t="shared" ca="1" si="7"/>
        <v>0.75262260492700495</v>
      </c>
      <c r="AG101" s="118">
        <f t="shared" ca="1" si="8"/>
        <v>192.80727705386954</v>
      </c>
      <c r="AH101" s="204">
        <f t="shared" ref="AH101:AH132" ca="1" si="11">rF1.PlotExcentricityTotalMiddle*rF1.PlotAxForceMiddle</f>
        <v>1.6870636742213583</v>
      </c>
      <c r="AI101" s="259"/>
    </row>
    <row r="102" spans="11:35" x14ac:dyDescent="0.2">
      <c r="K102" s="170"/>
      <c r="L102" s="146"/>
      <c r="M102" s="295"/>
      <c r="N102" s="295"/>
      <c r="O102" s="295"/>
      <c r="P102" s="265"/>
      <c r="Q102" s="265"/>
      <c r="R102" s="117"/>
      <c r="S102" s="155"/>
      <c r="T102" s="238">
        <v>0.01</v>
      </c>
      <c r="U102" s="209">
        <f t="shared" ca="1" si="2"/>
        <v>3.1619999999999999</v>
      </c>
      <c r="V102" s="118">
        <f t="shared" ca="1" si="9"/>
        <v>0.11892</v>
      </c>
      <c r="W102" s="204">
        <f t="shared" ref="W102:W132" ca="1" si="12">rF1.PlotAxForceTop*rF1.PlotExcentricityTop</f>
        <v>0.37602503999999998</v>
      </c>
      <c r="Y102" s="209">
        <f t="shared" ca="1" si="3"/>
        <v>3.1619999999999999</v>
      </c>
      <c r="Z102" s="118">
        <f t="shared" ca="1" si="10"/>
        <v>0.11892</v>
      </c>
      <c r="AA102" s="204">
        <f t="shared" ref="AA102:AA132" ca="1" si="13">rF1.PlotAxForceBottom*rF1.PlotExcentricityBottom</f>
        <v>0.37602503999999998</v>
      </c>
      <c r="AC102" s="209">
        <f t="shared" ca="1" si="4"/>
        <v>8.7499999999999991E-4</v>
      </c>
      <c r="AD102" s="118">
        <f t="shared" ca="1" si="5"/>
        <v>0</v>
      </c>
      <c r="AE102" s="118">
        <f t="shared" ca="1" si="6"/>
        <v>8.7499999999999991E-3</v>
      </c>
      <c r="AF102" s="118">
        <f t="shared" ca="1" si="7"/>
        <v>0.75262260492700495</v>
      </c>
      <c r="AG102" s="118">
        <f t="shared" ca="1" si="8"/>
        <v>192.80727705386954</v>
      </c>
      <c r="AH102" s="204">
        <f t="shared" ca="1" si="11"/>
        <v>1.6870636742213583</v>
      </c>
      <c r="AI102" s="259"/>
    </row>
    <row r="103" spans="11:35" x14ac:dyDescent="0.2">
      <c r="K103" s="170"/>
      <c r="L103" s="146"/>
      <c r="M103" s="295"/>
      <c r="N103" s="295"/>
      <c r="O103" s="295"/>
      <c r="P103" s="265"/>
      <c r="Q103" s="265"/>
      <c r="R103" s="117"/>
      <c r="S103" s="155"/>
      <c r="T103" s="238">
        <v>0.02</v>
      </c>
      <c r="U103" s="209">
        <f t="shared" ca="1" si="2"/>
        <v>6.3239999999999998</v>
      </c>
      <c r="V103" s="118">
        <f t="shared" ca="1" si="9"/>
        <v>0.11784</v>
      </c>
      <c r="W103" s="204">
        <f t="shared" ca="1" si="12"/>
        <v>0.74522016000000002</v>
      </c>
      <c r="Y103" s="209">
        <f t="shared" ca="1" si="3"/>
        <v>6.3239999999999998</v>
      </c>
      <c r="Z103" s="118">
        <f t="shared" ca="1" si="10"/>
        <v>0.11784</v>
      </c>
      <c r="AA103" s="204">
        <f t="shared" ca="1" si="13"/>
        <v>0.74522016000000002</v>
      </c>
      <c r="AC103" s="209">
        <f t="shared" ca="1" si="4"/>
        <v>1.7499999999999998E-3</v>
      </c>
      <c r="AD103" s="118">
        <f t="shared" ca="1" si="5"/>
        <v>0</v>
      </c>
      <c r="AE103" s="118">
        <f t="shared" ca="1" si="6"/>
        <v>8.7499999999999991E-3</v>
      </c>
      <c r="AF103" s="118">
        <f t="shared" ca="1" si="7"/>
        <v>0.75262260492700495</v>
      </c>
      <c r="AG103" s="118">
        <f t="shared" ca="1" si="8"/>
        <v>192.80727705386954</v>
      </c>
      <c r="AH103" s="204">
        <f t="shared" ca="1" si="11"/>
        <v>1.6870636742213583</v>
      </c>
      <c r="AI103" s="259"/>
    </row>
    <row r="104" spans="11:35" x14ac:dyDescent="0.2">
      <c r="K104" s="170"/>
      <c r="L104" s="146"/>
      <c r="M104" s="295"/>
      <c r="N104" s="295"/>
      <c r="O104" s="295"/>
      <c r="P104" s="265"/>
      <c r="Q104" s="265"/>
      <c r="R104" s="117"/>
      <c r="S104" s="155"/>
      <c r="T104" s="238">
        <v>0.03</v>
      </c>
      <c r="U104" s="209">
        <f t="shared" ca="1" si="2"/>
        <v>9.4859999999999989</v>
      </c>
      <c r="V104" s="118">
        <f t="shared" ca="1" si="9"/>
        <v>0.11676</v>
      </c>
      <c r="W104" s="204">
        <f t="shared" ca="1" si="12"/>
        <v>1.1075853599999999</v>
      </c>
      <c r="Y104" s="209">
        <f t="shared" ca="1" si="3"/>
        <v>9.4859999999999989</v>
      </c>
      <c r="Z104" s="118">
        <f t="shared" ca="1" si="10"/>
        <v>0.11676</v>
      </c>
      <c r="AA104" s="204">
        <f t="shared" ca="1" si="13"/>
        <v>1.1075853599999999</v>
      </c>
      <c r="AC104" s="209">
        <f t="shared" ca="1" si="4"/>
        <v>2.6249999999999997E-3</v>
      </c>
      <c r="AD104" s="118">
        <f t="shared" ca="1" si="5"/>
        <v>0</v>
      </c>
      <c r="AE104" s="118">
        <f t="shared" ca="1" si="6"/>
        <v>8.7499999999999991E-3</v>
      </c>
      <c r="AF104" s="118">
        <f t="shared" ca="1" si="7"/>
        <v>0.75262260492700495</v>
      </c>
      <c r="AG104" s="118">
        <f t="shared" ca="1" si="8"/>
        <v>192.80727705386954</v>
      </c>
      <c r="AH104" s="204">
        <f t="shared" ca="1" si="11"/>
        <v>1.6870636742213583</v>
      </c>
      <c r="AI104" s="259"/>
    </row>
    <row r="105" spans="11:35" x14ac:dyDescent="0.2">
      <c r="K105" s="170"/>
      <c r="L105" s="146"/>
      <c r="M105" s="295"/>
      <c r="N105" s="295"/>
      <c r="O105" s="295"/>
      <c r="P105" s="265"/>
      <c r="Q105" s="265"/>
      <c r="R105" s="117"/>
      <c r="S105" s="155"/>
      <c r="T105" s="238">
        <v>0.04</v>
      </c>
      <c r="U105" s="209">
        <f t="shared" ca="1" si="2"/>
        <v>12.648</v>
      </c>
      <c r="V105" s="118">
        <f t="shared" ca="1" si="9"/>
        <v>0.11567999999999999</v>
      </c>
      <c r="W105" s="204">
        <f t="shared" ca="1" si="12"/>
        <v>1.4631206399999999</v>
      </c>
      <c r="Y105" s="209">
        <f t="shared" ca="1" si="3"/>
        <v>12.648</v>
      </c>
      <c r="Z105" s="118">
        <f t="shared" ca="1" si="10"/>
        <v>0.11567999999999999</v>
      </c>
      <c r="AA105" s="204">
        <f t="shared" ca="1" si="13"/>
        <v>1.4631206399999999</v>
      </c>
      <c r="AC105" s="209">
        <f t="shared" ca="1" si="4"/>
        <v>3.4999999999999996E-3</v>
      </c>
      <c r="AD105" s="118">
        <f t="shared" ca="1" si="5"/>
        <v>0</v>
      </c>
      <c r="AE105" s="118">
        <f t="shared" ca="1" si="6"/>
        <v>8.7499999999999991E-3</v>
      </c>
      <c r="AF105" s="118">
        <f t="shared" ca="1" si="7"/>
        <v>0.75262260492700495</v>
      </c>
      <c r="AG105" s="118">
        <f t="shared" ca="1" si="8"/>
        <v>192.80727705386954</v>
      </c>
      <c r="AH105" s="204">
        <f t="shared" ca="1" si="11"/>
        <v>1.6870636742213583</v>
      </c>
      <c r="AI105" s="259"/>
    </row>
    <row r="106" spans="11:35" x14ac:dyDescent="0.2">
      <c r="K106" s="290" t="s">
        <v>266</v>
      </c>
      <c r="L106" s="291"/>
      <c r="M106" s="301"/>
      <c r="N106" s="302" t="s">
        <v>267</v>
      </c>
      <c r="O106" s="301"/>
      <c r="P106" s="294"/>
      <c r="Q106" s="294"/>
      <c r="R106" s="117"/>
      <c r="S106" s="155"/>
      <c r="T106" s="238">
        <v>0.05</v>
      </c>
      <c r="U106" s="209">
        <f t="shared" ca="1" si="2"/>
        <v>15.81</v>
      </c>
      <c r="V106" s="118">
        <f t="shared" ca="1" si="9"/>
        <v>0.11459999999999999</v>
      </c>
      <c r="W106" s="204">
        <f t="shared" ca="1" si="12"/>
        <v>1.8118259999999999</v>
      </c>
      <c r="Y106" s="209">
        <f t="shared" ca="1" si="3"/>
        <v>15.81</v>
      </c>
      <c r="Z106" s="118">
        <f t="shared" ca="1" si="10"/>
        <v>0.11459999999999999</v>
      </c>
      <c r="AA106" s="204">
        <f t="shared" ca="1" si="13"/>
        <v>1.8118259999999999</v>
      </c>
      <c r="AC106" s="209">
        <f t="shared" ca="1" si="4"/>
        <v>4.3749999999999995E-3</v>
      </c>
      <c r="AD106" s="118">
        <f t="shared" ca="1" si="5"/>
        <v>0</v>
      </c>
      <c r="AE106" s="118">
        <f t="shared" ca="1" si="6"/>
        <v>8.7499999999999991E-3</v>
      </c>
      <c r="AF106" s="118">
        <f t="shared" ca="1" si="7"/>
        <v>0.75262260492700495</v>
      </c>
      <c r="AG106" s="118">
        <f t="shared" ca="1" si="8"/>
        <v>192.80727705386954</v>
      </c>
      <c r="AH106" s="204">
        <f t="shared" ca="1" si="11"/>
        <v>1.6870636742213583</v>
      </c>
      <c r="AI106" s="259"/>
    </row>
    <row r="107" spans="11:35" x14ac:dyDescent="0.2">
      <c r="K107" s="146"/>
      <c r="L107" s="146"/>
      <c r="M107" s="303"/>
      <c r="N107" s="303"/>
      <c r="O107" s="303"/>
      <c r="P107" s="265"/>
      <c r="Q107" s="265"/>
      <c r="R107" s="117"/>
      <c r="S107" s="155"/>
      <c r="T107" s="238">
        <v>0.06</v>
      </c>
      <c r="U107" s="209">
        <f t="shared" ca="1" si="2"/>
        <v>18.971999999999998</v>
      </c>
      <c r="V107" s="118">
        <f t="shared" ca="1" si="9"/>
        <v>0.11352</v>
      </c>
      <c r="W107" s="204">
        <f t="shared" ca="1" si="12"/>
        <v>2.1537014399999999</v>
      </c>
      <c r="Y107" s="209">
        <f t="shared" ca="1" si="3"/>
        <v>18.971999999999998</v>
      </c>
      <c r="Z107" s="118">
        <f t="shared" ca="1" si="10"/>
        <v>0.11352</v>
      </c>
      <c r="AA107" s="204">
        <f t="shared" ca="1" si="13"/>
        <v>2.1537014399999999</v>
      </c>
      <c r="AC107" s="209">
        <f t="shared" ca="1" si="4"/>
        <v>5.2499999999999995E-3</v>
      </c>
      <c r="AD107" s="118">
        <f t="shared" ca="1" si="5"/>
        <v>0</v>
      </c>
      <c r="AE107" s="118">
        <f t="shared" ca="1" si="6"/>
        <v>8.7499999999999991E-3</v>
      </c>
      <c r="AF107" s="118">
        <f t="shared" ca="1" si="7"/>
        <v>0.75262260492700495</v>
      </c>
      <c r="AG107" s="118">
        <f t="shared" ca="1" si="8"/>
        <v>192.80727705386954</v>
      </c>
      <c r="AH107" s="204">
        <f t="shared" ca="1" si="11"/>
        <v>1.6870636742213583</v>
      </c>
      <c r="AI107" s="259"/>
    </row>
    <row r="108" spans="11:35" x14ac:dyDescent="0.2">
      <c r="K108" s="170"/>
      <c r="L108" s="146"/>
      <c r="M108" s="265"/>
      <c r="N108" s="265"/>
      <c r="O108" s="265"/>
      <c r="P108" s="265"/>
      <c r="Q108" s="265"/>
      <c r="R108" s="409"/>
      <c r="S108" s="155"/>
      <c r="T108" s="238">
        <v>7.0000000000000007E-2</v>
      </c>
      <c r="U108" s="209">
        <f t="shared" ca="1" si="2"/>
        <v>22.134</v>
      </c>
      <c r="V108" s="118">
        <f t="shared" ca="1" si="9"/>
        <v>0.11244</v>
      </c>
      <c r="W108" s="204">
        <f t="shared" ca="1" si="12"/>
        <v>2.4887469599999998</v>
      </c>
      <c r="Y108" s="209">
        <f t="shared" ca="1" si="3"/>
        <v>22.134</v>
      </c>
      <c r="Z108" s="118">
        <f t="shared" ca="1" si="10"/>
        <v>0.11244</v>
      </c>
      <c r="AA108" s="204">
        <f t="shared" ca="1" si="13"/>
        <v>2.4887469599999998</v>
      </c>
      <c r="AC108" s="209">
        <f t="shared" ca="1" si="4"/>
        <v>6.1250000000000002E-3</v>
      </c>
      <c r="AD108" s="118">
        <f t="shared" ca="1" si="5"/>
        <v>0</v>
      </c>
      <c r="AE108" s="118">
        <f t="shared" ca="1" si="6"/>
        <v>8.7499999999999991E-3</v>
      </c>
      <c r="AF108" s="118">
        <f t="shared" ca="1" si="7"/>
        <v>0.75262260492700495</v>
      </c>
      <c r="AG108" s="118">
        <f t="shared" ca="1" si="8"/>
        <v>192.80727705386954</v>
      </c>
      <c r="AH108" s="204">
        <f t="shared" ca="1" si="11"/>
        <v>1.6870636742213583</v>
      </c>
      <c r="AI108" s="259"/>
    </row>
    <row r="109" spans="11:35" x14ac:dyDescent="0.2">
      <c r="K109" s="218"/>
      <c r="L109" s="146"/>
      <c r="M109" s="264"/>
      <c r="N109" s="264"/>
      <c r="O109" s="264"/>
      <c r="P109" s="264"/>
      <c r="Q109" s="265"/>
      <c r="R109" s="117"/>
      <c r="S109" s="155"/>
      <c r="T109" s="238">
        <v>0.08</v>
      </c>
      <c r="U109" s="209">
        <f t="shared" ca="1" si="2"/>
        <v>25.295999999999999</v>
      </c>
      <c r="V109" s="118">
        <f t="shared" ca="1" si="9"/>
        <v>0.11136</v>
      </c>
      <c r="W109" s="204">
        <f t="shared" ca="1" si="12"/>
        <v>2.8169625599999999</v>
      </c>
      <c r="Y109" s="209">
        <f t="shared" ca="1" si="3"/>
        <v>25.295999999999999</v>
      </c>
      <c r="Z109" s="118">
        <f t="shared" ca="1" si="10"/>
        <v>0.11136</v>
      </c>
      <c r="AA109" s="204">
        <f t="shared" ca="1" si="13"/>
        <v>2.8169625599999999</v>
      </c>
      <c r="AC109" s="209">
        <f t="shared" ca="1" si="4"/>
        <v>6.9999999999999993E-3</v>
      </c>
      <c r="AD109" s="118">
        <f t="shared" ca="1" si="5"/>
        <v>0</v>
      </c>
      <c r="AE109" s="118">
        <f t="shared" ca="1" si="6"/>
        <v>8.7499999999999991E-3</v>
      </c>
      <c r="AF109" s="118">
        <f t="shared" ca="1" si="7"/>
        <v>0.75262260492700495</v>
      </c>
      <c r="AG109" s="118">
        <f t="shared" ca="1" si="8"/>
        <v>192.80727705386954</v>
      </c>
      <c r="AH109" s="204">
        <f t="shared" ca="1" si="11"/>
        <v>1.6870636742213583</v>
      </c>
      <c r="AI109" s="259"/>
    </row>
    <row r="110" spans="11:35" x14ac:dyDescent="0.2">
      <c r="K110" s="218"/>
      <c r="L110" s="146"/>
      <c r="M110" s="264"/>
      <c r="N110" s="264"/>
      <c r="O110" s="264"/>
      <c r="P110" s="264"/>
      <c r="Q110" s="265"/>
      <c r="R110" s="117"/>
      <c r="S110" s="155"/>
      <c r="T110" s="238">
        <v>0.09</v>
      </c>
      <c r="U110" s="209">
        <f t="shared" ca="1" si="2"/>
        <v>28.457999999999998</v>
      </c>
      <c r="V110" s="118">
        <f t="shared" ca="1" si="9"/>
        <v>0.11027999999999999</v>
      </c>
      <c r="W110" s="204">
        <f t="shared" ca="1" si="12"/>
        <v>3.1383482399999996</v>
      </c>
      <c r="Y110" s="209">
        <f t="shared" ca="1" si="3"/>
        <v>28.457999999999998</v>
      </c>
      <c r="Z110" s="118">
        <f t="shared" ca="1" si="10"/>
        <v>0.11027999999999999</v>
      </c>
      <c r="AA110" s="204">
        <f t="shared" ca="1" si="13"/>
        <v>3.1383482399999996</v>
      </c>
      <c r="AC110" s="209">
        <f t="shared" ca="1" si="4"/>
        <v>7.8750000000000001E-3</v>
      </c>
      <c r="AD110" s="118">
        <f t="shared" ca="1" si="5"/>
        <v>0</v>
      </c>
      <c r="AE110" s="118">
        <f t="shared" ca="1" si="6"/>
        <v>8.7499999999999991E-3</v>
      </c>
      <c r="AF110" s="118">
        <f t="shared" ca="1" si="7"/>
        <v>0.75262260492700495</v>
      </c>
      <c r="AG110" s="118">
        <f t="shared" ca="1" si="8"/>
        <v>192.80727705386954</v>
      </c>
      <c r="AH110" s="204">
        <f t="shared" ca="1" si="11"/>
        <v>1.6870636742213583</v>
      </c>
      <c r="AI110" s="259"/>
    </row>
    <row r="111" spans="11:35" x14ac:dyDescent="0.2">
      <c r="K111" s="170"/>
      <c r="L111" s="146"/>
      <c r="M111" s="265"/>
      <c r="N111" s="265"/>
      <c r="O111" s="265"/>
      <c r="P111" s="265"/>
      <c r="Q111" s="265"/>
      <c r="R111" s="117"/>
      <c r="S111" s="155"/>
      <c r="T111" s="238">
        <v>0.1</v>
      </c>
      <c r="U111" s="209">
        <f t="shared" ca="1" si="2"/>
        <v>31.62</v>
      </c>
      <c r="V111" s="118">
        <f t="shared" ca="1" si="9"/>
        <v>0.10919999999999999</v>
      </c>
      <c r="W111" s="204">
        <f t="shared" ca="1" si="12"/>
        <v>3.4529039999999998</v>
      </c>
      <c r="Y111" s="209">
        <f t="shared" ca="1" si="3"/>
        <v>31.62</v>
      </c>
      <c r="Z111" s="118">
        <f t="shared" ca="1" si="10"/>
        <v>0.10919999999999999</v>
      </c>
      <c r="AA111" s="204">
        <f t="shared" ca="1" si="13"/>
        <v>3.4529039999999998</v>
      </c>
      <c r="AC111" s="209">
        <f t="shared" ca="1" si="4"/>
        <v>8.7499999999999991E-3</v>
      </c>
      <c r="AD111" s="118">
        <f t="shared" ca="1" si="5"/>
        <v>0</v>
      </c>
      <c r="AE111" s="118">
        <f t="shared" ca="1" si="6"/>
        <v>8.7499999999999991E-3</v>
      </c>
      <c r="AF111" s="118">
        <f t="shared" ca="1" si="7"/>
        <v>0.75262260492700495</v>
      </c>
      <c r="AG111" s="118">
        <f t="shared" ca="1" si="8"/>
        <v>192.80727705386954</v>
      </c>
      <c r="AH111" s="204">
        <f t="shared" ca="1" si="11"/>
        <v>1.6870636742213583</v>
      </c>
      <c r="AI111" s="259"/>
    </row>
    <row r="112" spans="11:35" x14ac:dyDescent="0.2">
      <c r="K112" s="170"/>
      <c r="L112" s="146"/>
      <c r="M112" s="265"/>
      <c r="N112" s="265"/>
      <c r="O112" s="265"/>
      <c r="P112" s="265"/>
      <c r="Q112" s="265"/>
      <c r="R112" s="117"/>
      <c r="S112" s="155"/>
      <c r="T112" s="238">
        <v>0.11</v>
      </c>
      <c r="U112" s="209">
        <f t="shared" ca="1" si="2"/>
        <v>34.781999999999996</v>
      </c>
      <c r="V112" s="118">
        <f t="shared" ca="1" si="9"/>
        <v>0.10811999999999999</v>
      </c>
      <c r="W112" s="204">
        <f t="shared" ca="1" si="12"/>
        <v>3.7606298399999996</v>
      </c>
      <c r="Y112" s="209">
        <f t="shared" ca="1" si="3"/>
        <v>34.781999999999996</v>
      </c>
      <c r="Z112" s="118">
        <f t="shared" ca="1" si="10"/>
        <v>0.10811999999999999</v>
      </c>
      <c r="AA112" s="204">
        <f t="shared" ca="1" si="13"/>
        <v>3.7606298399999996</v>
      </c>
      <c r="AC112" s="209">
        <f t="shared" ca="1" si="4"/>
        <v>9.6249999999999999E-3</v>
      </c>
      <c r="AD112" s="118">
        <f t="shared" ca="1" si="5"/>
        <v>0</v>
      </c>
      <c r="AE112" s="118">
        <f t="shared" ca="1" si="6"/>
        <v>9.6249999999999999E-3</v>
      </c>
      <c r="AF112" s="118">
        <f t="shared" ca="1" si="7"/>
        <v>0.74122260492700487</v>
      </c>
      <c r="AG112" s="118">
        <f t="shared" ca="1" si="8"/>
        <v>189.88681872053618</v>
      </c>
      <c r="AH112" s="204">
        <f t="shared" ca="1" si="11"/>
        <v>1.8276606301851608</v>
      </c>
      <c r="AI112" s="259"/>
    </row>
    <row r="113" spans="11:35" x14ac:dyDescent="0.2">
      <c r="K113" s="170"/>
      <c r="L113" s="146"/>
      <c r="M113" s="265"/>
      <c r="N113" s="265"/>
      <c r="O113" s="265"/>
      <c r="P113" s="265"/>
      <c r="Q113" s="265"/>
      <c r="R113" s="117"/>
      <c r="S113" s="155"/>
      <c r="T113" s="238">
        <v>0.12</v>
      </c>
      <c r="U113" s="209">
        <f t="shared" ca="1" si="2"/>
        <v>37.943999999999996</v>
      </c>
      <c r="V113" s="118">
        <f t="shared" ca="1" si="9"/>
        <v>0.10704</v>
      </c>
      <c r="W113" s="204">
        <f t="shared" ca="1" si="12"/>
        <v>4.0615257599999994</v>
      </c>
      <c r="Y113" s="209">
        <f t="shared" ca="1" si="3"/>
        <v>37.943999999999996</v>
      </c>
      <c r="Z113" s="118">
        <f t="shared" ca="1" si="10"/>
        <v>0.10704</v>
      </c>
      <c r="AA113" s="204">
        <f t="shared" ca="1" si="13"/>
        <v>4.0615257599999994</v>
      </c>
      <c r="AC113" s="209">
        <f t="shared" ca="1" si="4"/>
        <v>1.0499999999999999E-2</v>
      </c>
      <c r="AD113" s="118">
        <f t="shared" ca="1" si="5"/>
        <v>0</v>
      </c>
      <c r="AE113" s="118">
        <f t="shared" ca="1" si="6"/>
        <v>1.0499999999999999E-2</v>
      </c>
      <c r="AF113" s="118">
        <f t="shared" ca="1" si="7"/>
        <v>0.72982260492700479</v>
      </c>
      <c r="AG113" s="118">
        <f t="shared" ca="1" si="8"/>
        <v>186.96636038720283</v>
      </c>
      <c r="AH113" s="204">
        <f t="shared" ca="1" si="11"/>
        <v>1.9631467840656294</v>
      </c>
      <c r="AI113" s="259"/>
    </row>
    <row r="114" spans="11:35" x14ac:dyDescent="0.2">
      <c r="K114" s="170"/>
      <c r="L114" s="146"/>
      <c r="M114" s="265"/>
      <c r="N114" s="265"/>
      <c r="O114" s="265"/>
      <c r="P114" s="265"/>
      <c r="Q114" s="265"/>
      <c r="R114" s="117"/>
      <c r="S114" s="155"/>
      <c r="T114" s="238">
        <v>0.13</v>
      </c>
      <c r="U114" s="209">
        <f t="shared" ca="1" si="2"/>
        <v>41.106000000000002</v>
      </c>
      <c r="V114" s="118">
        <f t="shared" ca="1" si="9"/>
        <v>0.10596</v>
      </c>
      <c r="W114" s="204">
        <f t="shared" ca="1" si="12"/>
        <v>4.3555917600000003</v>
      </c>
      <c r="Y114" s="209">
        <f t="shared" ca="1" si="3"/>
        <v>41.106000000000002</v>
      </c>
      <c r="Z114" s="118">
        <f t="shared" ca="1" si="10"/>
        <v>0.10596</v>
      </c>
      <c r="AA114" s="204">
        <f t="shared" ca="1" si="13"/>
        <v>4.3555917600000003</v>
      </c>
      <c r="AC114" s="209">
        <f t="shared" ca="1" si="4"/>
        <v>1.1375E-2</v>
      </c>
      <c r="AD114" s="118">
        <f t="shared" ca="1" si="5"/>
        <v>0</v>
      </c>
      <c r="AE114" s="118">
        <f t="shared" ca="1" si="6"/>
        <v>1.1375E-2</v>
      </c>
      <c r="AF114" s="118">
        <f t="shared" ca="1" si="7"/>
        <v>0.71842260492700483</v>
      </c>
      <c r="AG114" s="118">
        <f t="shared" ca="1" si="8"/>
        <v>184.0459020538695</v>
      </c>
      <c r="AH114" s="204">
        <f t="shared" ca="1" si="11"/>
        <v>2.0935221358627656</v>
      </c>
      <c r="AI114" s="259"/>
    </row>
    <row r="115" spans="11:35" x14ac:dyDescent="0.2">
      <c r="K115" s="170"/>
      <c r="L115" s="146"/>
      <c r="M115" s="265"/>
      <c r="N115" s="265"/>
      <c r="O115" s="265"/>
      <c r="P115" s="265"/>
      <c r="Q115" s="265"/>
      <c r="R115" s="117"/>
      <c r="S115" s="155"/>
      <c r="T115" s="238">
        <v>0.14000000000000001</v>
      </c>
      <c r="U115" s="209">
        <f t="shared" ca="1" si="2"/>
        <v>44.268000000000001</v>
      </c>
      <c r="V115" s="118">
        <f t="shared" ca="1" si="9"/>
        <v>0.10488</v>
      </c>
      <c r="W115" s="204">
        <f t="shared" ca="1" si="12"/>
        <v>4.6428278399999998</v>
      </c>
      <c r="Y115" s="209">
        <f t="shared" ca="1" si="3"/>
        <v>44.268000000000001</v>
      </c>
      <c r="Z115" s="118">
        <f t="shared" ca="1" si="10"/>
        <v>0.10488</v>
      </c>
      <c r="AA115" s="204">
        <f t="shared" ca="1" si="13"/>
        <v>4.6428278399999998</v>
      </c>
      <c r="AC115" s="209">
        <f t="shared" ca="1" si="4"/>
        <v>1.225E-2</v>
      </c>
      <c r="AD115" s="118">
        <f t="shared" ca="1" si="5"/>
        <v>0</v>
      </c>
      <c r="AE115" s="118">
        <f t="shared" ca="1" si="6"/>
        <v>1.225E-2</v>
      </c>
      <c r="AF115" s="118">
        <f t="shared" ca="1" si="7"/>
        <v>0.70702260492700486</v>
      </c>
      <c r="AG115" s="118">
        <f t="shared" ca="1" si="8"/>
        <v>181.1254437205362</v>
      </c>
      <c r="AH115" s="204">
        <f t="shared" ca="1" si="11"/>
        <v>2.2187866855765686</v>
      </c>
      <c r="AI115" s="259"/>
    </row>
    <row r="116" spans="11:35" x14ac:dyDescent="0.2">
      <c r="K116" s="170"/>
      <c r="L116" s="146"/>
      <c r="M116" s="265"/>
      <c r="N116" s="265"/>
      <c r="O116" s="265"/>
      <c r="P116" s="265"/>
      <c r="Q116" s="265"/>
      <c r="R116" s="117"/>
      <c r="S116" s="155"/>
      <c r="T116" s="238">
        <v>0.15</v>
      </c>
      <c r="U116" s="209">
        <f t="shared" ca="1" si="2"/>
        <v>47.43</v>
      </c>
      <c r="V116" s="118">
        <f t="shared" ca="1" si="9"/>
        <v>0.1038</v>
      </c>
      <c r="W116" s="204">
        <f t="shared" ca="1" si="12"/>
        <v>4.9232339999999999</v>
      </c>
      <c r="Y116" s="209">
        <f t="shared" ca="1" si="3"/>
        <v>47.43</v>
      </c>
      <c r="Z116" s="118">
        <f t="shared" ca="1" si="10"/>
        <v>0.1038</v>
      </c>
      <c r="AA116" s="204">
        <f t="shared" ca="1" si="13"/>
        <v>4.9232339999999999</v>
      </c>
      <c r="AC116" s="209">
        <f t="shared" ca="1" si="4"/>
        <v>1.3125E-2</v>
      </c>
      <c r="AD116" s="118">
        <f t="shared" ca="1" si="5"/>
        <v>0</v>
      </c>
      <c r="AE116" s="118">
        <f t="shared" ca="1" si="6"/>
        <v>1.3125E-2</v>
      </c>
      <c r="AF116" s="118">
        <f t="shared" ca="1" si="7"/>
        <v>0.69562260492700478</v>
      </c>
      <c r="AG116" s="118">
        <f t="shared" ca="1" si="8"/>
        <v>178.20498538720284</v>
      </c>
      <c r="AH116" s="204">
        <f t="shared" ca="1" si="11"/>
        <v>2.3389404332070374</v>
      </c>
      <c r="AI116" s="259"/>
    </row>
    <row r="117" spans="11:35" x14ac:dyDescent="0.2">
      <c r="K117" s="146"/>
      <c r="L117" s="146"/>
      <c r="M117" s="265"/>
      <c r="N117" s="265"/>
      <c r="O117" s="265"/>
      <c r="P117" s="265"/>
      <c r="Q117" s="265"/>
      <c r="R117" s="117"/>
      <c r="S117" s="155"/>
      <c r="T117" s="238">
        <v>0.16</v>
      </c>
      <c r="U117" s="209">
        <f t="shared" ca="1" si="2"/>
        <v>50.591999999999999</v>
      </c>
      <c r="V117" s="118">
        <f t="shared" ca="1" si="9"/>
        <v>0.10271999999999999</v>
      </c>
      <c r="W117" s="204">
        <f t="shared" ca="1" si="12"/>
        <v>5.1968102399999996</v>
      </c>
      <c r="Y117" s="209">
        <f t="shared" ca="1" si="3"/>
        <v>50.591999999999999</v>
      </c>
      <c r="Z117" s="118">
        <f t="shared" ca="1" si="10"/>
        <v>0.10271999999999999</v>
      </c>
      <c r="AA117" s="204">
        <f t="shared" ca="1" si="13"/>
        <v>5.1968102399999996</v>
      </c>
      <c r="AC117" s="209">
        <f t="shared" ca="1" si="4"/>
        <v>1.3999999999999999E-2</v>
      </c>
      <c r="AD117" s="118">
        <f t="shared" ca="1" si="5"/>
        <v>0</v>
      </c>
      <c r="AE117" s="118">
        <f t="shared" ca="1" si="6"/>
        <v>1.3999999999999999E-2</v>
      </c>
      <c r="AF117" s="118">
        <f t="shared" ca="1" si="7"/>
        <v>0.68422260492700482</v>
      </c>
      <c r="AG117" s="118">
        <f t="shared" ca="1" si="8"/>
        <v>175.28452705386951</v>
      </c>
      <c r="AH117" s="204">
        <f t="shared" ca="1" si="11"/>
        <v>2.4539833787541729</v>
      </c>
      <c r="AI117" s="259"/>
    </row>
    <row r="118" spans="11:35" x14ac:dyDescent="0.2">
      <c r="K118" s="146"/>
      <c r="L118" s="146"/>
      <c r="M118" s="265"/>
      <c r="N118" s="265"/>
      <c r="O118" s="265"/>
      <c r="P118" s="265"/>
      <c r="Q118" s="265"/>
      <c r="R118" s="117"/>
      <c r="S118" s="155"/>
      <c r="T118" s="238">
        <v>0.17</v>
      </c>
      <c r="U118" s="209">
        <f t="shared" ca="1" si="2"/>
        <v>53.754000000000005</v>
      </c>
      <c r="V118" s="118">
        <f t="shared" ca="1" si="9"/>
        <v>0.10163999999999999</v>
      </c>
      <c r="W118" s="204">
        <f t="shared" ca="1" si="12"/>
        <v>5.4635565599999998</v>
      </c>
      <c r="Y118" s="209">
        <f t="shared" ca="1" si="3"/>
        <v>53.754000000000005</v>
      </c>
      <c r="Z118" s="118">
        <f t="shared" ca="1" si="10"/>
        <v>0.10163999999999999</v>
      </c>
      <c r="AA118" s="204">
        <f t="shared" ca="1" si="13"/>
        <v>5.4635565599999998</v>
      </c>
      <c r="AC118" s="209">
        <f t="shared" ca="1" si="4"/>
        <v>1.4874999999999999E-2</v>
      </c>
      <c r="AD118" s="118">
        <f t="shared" ca="1" si="5"/>
        <v>0</v>
      </c>
      <c r="AE118" s="118">
        <f t="shared" ca="1" si="6"/>
        <v>1.4874999999999999E-2</v>
      </c>
      <c r="AF118" s="118">
        <f t="shared" ca="1" si="7"/>
        <v>0.67282260492700474</v>
      </c>
      <c r="AG118" s="118">
        <f t="shared" ca="1" si="8"/>
        <v>172.36406872053615</v>
      </c>
      <c r="AH118" s="204">
        <f t="shared" ca="1" si="11"/>
        <v>2.5639155222179753</v>
      </c>
      <c r="AI118" s="259"/>
    </row>
    <row r="119" spans="11:35" x14ac:dyDescent="0.2">
      <c r="K119" s="146"/>
      <c r="L119" s="146"/>
      <c r="M119" s="265"/>
      <c r="N119" s="265"/>
      <c r="O119" s="265"/>
      <c r="P119" s="265"/>
      <c r="Q119" s="265"/>
      <c r="R119" s="117"/>
      <c r="S119" s="155"/>
      <c r="T119" s="238">
        <v>0.18</v>
      </c>
      <c r="U119" s="209">
        <f t="shared" ca="1" si="2"/>
        <v>56.915999999999997</v>
      </c>
      <c r="V119" s="118">
        <f t="shared" ca="1" si="9"/>
        <v>0.10056</v>
      </c>
      <c r="W119" s="204">
        <f t="shared" ca="1" si="12"/>
        <v>5.7234729599999996</v>
      </c>
      <c r="Y119" s="209">
        <f t="shared" ca="1" si="3"/>
        <v>56.915999999999997</v>
      </c>
      <c r="Z119" s="118">
        <f t="shared" ca="1" si="10"/>
        <v>0.10056</v>
      </c>
      <c r="AA119" s="204">
        <f t="shared" ca="1" si="13"/>
        <v>5.7234729599999996</v>
      </c>
      <c r="AC119" s="209">
        <f t="shared" ca="1" si="4"/>
        <v>1.575E-2</v>
      </c>
      <c r="AD119" s="118">
        <f t="shared" ca="1" si="5"/>
        <v>0</v>
      </c>
      <c r="AE119" s="118">
        <f t="shared" ca="1" si="6"/>
        <v>1.575E-2</v>
      </c>
      <c r="AF119" s="118">
        <f t="shared" ca="1" si="7"/>
        <v>0.66142260492700478</v>
      </c>
      <c r="AG119" s="118">
        <f t="shared" ca="1" si="8"/>
        <v>169.44361038720282</v>
      </c>
      <c r="AH119" s="204">
        <f t="shared" ca="1" si="11"/>
        <v>2.6687368635984443</v>
      </c>
      <c r="AI119" s="259"/>
    </row>
    <row r="120" spans="11:35" x14ac:dyDescent="0.2">
      <c r="K120" s="146"/>
      <c r="L120" s="146"/>
      <c r="M120" s="265"/>
      <c r="N120" s="265"/>
      <c r="O120" s="265"/>
      <c r="P120" s="265"/>
      <c r="Q120" s="265"/>
      <c r="R120" s="117"/>
      <c r="S120" s="155"/>
      <c r="T120" s="238">
        <v>0.19</v>
      </c>
      <c r="U120" s="209">
        <f t="shared" ca="1" si="2"/>
        <v>60.077999999999996</v>
      </c>
      <c r="V120" s="118">
        <f t="shared" ca="1" si="9"/>
        <v>9.9479999999999999E-2</v>
      </c>
      <c r="W120" s="204">
        <f t="shared" ca="1" si="12"/>
        <v>5.9765594399999999</v>
      </c>
      <c r="Y120" s="209">
        <f t="shared" ca="1" si="3"/>
        <v>60.077999999999996</v>
      </c>
      <c r="Z120" s="118">
        <f t="shared" ca="1" si="10"/>
        <v>9.9479999999999999E-2</v>
      </c>
      <c r="AA120" s="204">
        <f t="shared" ca="1" si="13"/>
        <v>5.9765594399999999</v>
      </c>
      <c r="AC120" s="209">
        <f t="shared" ca="1" si="4"/>
        <v>1.6624999999999997E-2</v>
      </c>
      <c r="AD120" s="118">
        <f t="shared" ca="1" si="5"/>
        <v>0</v>
      </c>
      <c r="AE120" s="118">
        <f t="shared" ca="1" si="6"/>
        <v>1.6624999999999997E-2</v>
      </c>
      <c r="AF120" s="118">
        <f t="shared" ca="1" si="7"/>
        <v>0.65002260492700492</v>
      </c>
      <c r="AG120" s="118">
        <f t="shared" ca="1" si="8"/>
        <v>166.5231520538695</v>
      </c>
      <c r="AH120" s="204">
        <f t="shared" ca="1" si="11"/>
        <v>2.7684474028955801</v>
      </c>
      <c r="AI120" s="259"/>
    </row>
    <row r="121" spans="11:35" x14ac:dyDescent="0.2">
      <c r="K121" s="146"/>
      <c r="L121" s="146"/>
      <c r="M121" s="265"/>
      <c r="N121" s="265"/>
      <c r="O121" s="265"/>
      <c r="P121" s="265"/>
      <c r="Q121" s="265"/>
      <c r="R121" s="117"/>
      <c r="S121" s="155"/>
      <c r="T121" s="238">
        <v>0.2</v>
      </c>
      <c r="U121" s="209">
        <f t="shared" ca="1" si="2"/>
        <v>63.24</v>
      </c>
      <c r="V121" s="118">
        <f t="shared" ca="1" si="9"/>
        <v>9.8400000000000001E-2</v>
      </c>
      <c r="W121" s="204">
        <f t="shared" ca="1" si="12"/>
        <v>6.2228159999999999</v>
      </c>
      <c r="Y121" s="209">
        <f t="shared" ca="1" si="3"/>
        <v>63.24</v>
      </c>
      <c r="Z121" s="118">
        <f t="shared" ca="1" si="10"/>
        <v>9.8400000000000001E-2</v>
      </c>
      <c r="AA121" s="204">
        <f t="shared" ca="1" si="13"/>
        <v>6.2228159999999999</v>
      </c>
      <c r="AC121" s="209">
        <f t="shared" ca="1" si="4"/>
        <v>1.7499999999999998E-2</v>
      </c>
      <c r="AD121" s="118">
        <f t="shared" ca="1" si="5"/>
        <v>0</v>
      </c>
      <c r="AE121" s="118">
        <f t="shared" ca="1" si="6"/>
        <v>1.7499999999999998E-2</v>
      </c>
      <c r="AF121" s="118">
        <f t="shared" ca="1" si="7"/>
        <v>0.63862260492700484</v>
      </c>
      <c r="AG121" s="118">
        <f t="shared" ca="1" si="8"/>
        <v>163.60269372053614</v>
      </c>
      <c r="AH121" s="204">
        <f t="shared" ca="1" si="11"/>
        <v>2.8630471401093822</v>
      </c>
      <c r="AI121" s="259"/>
    </row>
    <row r="122" spans="11:35" x14ac:dyDescent="0.2">
      <c r="K122" s="146"/>
      <c r="L122" s="146"/>
      <c r="M122" s="265"/>
      <c r="N122" s="265"/>
      <c r="O122" s="265"/>
      <c r="P122" s="265"/>
      <c r="Q122" s="265"/>
      <c r="R122" s="117"/>
      <c r="S122" s="155"/>
      <c r="T122" s="238">
        <v>0.21</v>
      </c>
      <c r="U122" s="209">
        <f t="shared" ca="1" si="2"/>
        <v>66.402000000000001</v>
      </c>
      <c r="V122" s="118">
        <f t="shared" ca="1" si="9"/>
        <v>9.731999999999999E-2</v>
      </c>
      <c r="W122" s="204">
        <f t="shared" ca="1" si="12"/>
        <v>6.4622426399999995</v>
      </c>
      <c r="Y122" s="209">
        <f t="shared" ca="1" si="3"/>
        <v>66.402000000000001</v>
      </c>
      <c r="Z122" s="118">
        <f t="shared" ca="1" si="10"/>
        <v>9.731999999999999E-2</v>
      </c>
      <c r="AA122" s="204">
        <f t="shared" ca="1" si="13"/>
        <v>6.4622426399999995</v>
      </c>
      <c r="AC122" s="209">
        <f t="shared" ca="1" si="4"/>
        <v>1.8374999999999999E-2</v>
      </c>
      <c r="AD122" s="118">
        <f t="shared" ca="1" si="5"/>
        <v>0</v>
      </c>
      <c r="AE122" s="118">
        <f t="shared" ca="1" si="6"/>
        <v>1.8374999999999999E-2</v>
      </c>
      <c r="AF122" s="118">
        <f t="shared" ca="1" si="7"/>
        <v>0.62722260492700488</v>
      </c>
      <c r="AG122" s="118">
        <f t="shared" ca="1" si="8"/>
        <v>160.68223538720284</v>
      </c>
      <c r="AH122" s="204">
        <f t="shared" ca="1" si="11"/>
        <v>2.952536075239852</v>
      </c>
      <c r="AI122" s="259"/>
    </row>
    <row r="123" spans="11:35" x14ac:dyDescent="0.2">
      <c r="K123" s="384" t="s">
        <v>567</v>
      </c>
      <c r="L123" s="382"/>
      <c r="M123" s="383"/>
      <c r="N123" s="383"/>
      <c r="O123" s="383"/>
      <c r="P123" s="383"/>
      <c r="Q123" s="383"/>
      <c r="R123" s="117"/>
      <c r="S123" s="155"/>
      <c r="T123" s="238">
        <v>0.22</v>
      </c>
      <c r="U123" s="209">
        <f t="shared" ca="1" si="2"/>
        <v>69.563999999999993</v>
      </c>
      <c r="V123" s="118">
        <f t="shared" ca="1" si="9"/>
        <v>9.6239999999999992E-2</v>
      </c>
      <c r="W123" s="204">
        <f t="shared" ca="1" si="12"/>
        <v>6.6948393599999987</v>
      </c>
      <c r="Y123" s="209">
        <f t="shared" ca="1" si="3"/>
        <v>69.563999999999993</v>
      </c>
      <c r="Z123" s="118">
        <f t="shared" ca="1" si="10"/>
        <v>9.6239999999999992E-2</v>
      </c>
      <c r="AA123" s="204">
        <f t="shared" ca="1" si="13"/>
        <v>6.6948393599999987</v>
      </c>
      <c r="AC123" s="209">
        <f t="shared" ca="1" si="4"/>
        <v>1.925E-2</v>
      </c>
      <c r="AD123" s="118">
        <f t="shared" ca="1" si="5"/>
        <v>0</v>
      </c>
      <c r="AE123" s="118">
        <f t="shared" ca="1" si="6"/>
        <v>1.925E-2</v>
      </c>
      <c r="AF123" s="118">
        <f t="shared" ca="1" si="7"/>
        <v>0.61582260492700491</v>
      </c>
      <c r="AG123" s="118">
        <f t="shared" ca="1" si="8"/>
        <v>157.76177705386954</v>
      </c>
      <c r="AH123" s="204">
        <f t="shared" ca="1" si="11"/>
        <v>3.0369142082869884</v>
      </c>
      <c r="AI123" s="259"/>
    </row>
    <row r="124" spans="11:35" x14ac:dyDescent="0.2">
      <c r="K124" s="385" t="s">
        <v>589</v>
      </c>
      <c r="L124" s="146"/>
      <c r="M124" s="265"/>
      <c r="N124" s="265"/>
      <c r="O124" s="265"/>
      <c r="P124" s="265"/>
      <c r="Q124" s="265"/>
      <c r="R124" s="117"/>
      <c r="S124" s="155"/>
      <c r="T124" s="238">
        <v>0.23</v>
      </c>
      <c r="U124" s="209">
        <f t="shared" ca="1" si="2"/>
        <v>72.725999999999999</v>
      </c>
      <c r="V124" s="118">
        <f t="shared" ca="1" si="9"/>
        <v>9.5159999999999995E-2</v>
      </c>
      <c r="W124" s="204">
        <f t="shared" ca="1" si="12"/>
        <v>6.9206061599999993</v>
      </c>
      <c r="Y124" s="209">
        <f t="shared" ca="1" si="3"/>
        <v>72.725999999999999</v>
      </c>
      <c r="Z124" s="118">
        <f t="shared" ca="1" si="10"/>
        <v>9.5159999999999995E-2</v>
      </c>
      <c r="AA124" s="204">
        <f t="shared" ca="1" si="13"/>
        <v>6.9206061599999993</v>
      </c>
      <c r="AC124" s="209">
        <f t="shared" ca="1" si="4"/>
        <v>2.0125000000000001E-2</v>
      </c>
      <c r="AD124" s="118">
        <f t="shared" ca="1" si="5"/>
        <v>0</v>
      </c>
      <c r="AE124" s="118">
        <f t="shared" ca="1" si="6"/>
        <v>2.0125000000000001E-2</v>
      </c>
      <c r="AF124" s="118">
        <f t="shared" ca="1" si="7"/>
        <v>0.60442260492700484</v>
      </c>
      <c r="AG124" s="118">
        <f t="shared" ca="1" si="8"/>
        <v>154.84131872053615</v>
      </c>
      <c r="AH124" s="204">
        <f t="shared" ca="1" si="11"/>
        <v>3.1161815392507903</v>
      </c>
      <c r="AI124" s="259"/>
    </row>
    <row r="125" spans="11:35" x14ac:dyDescent="0.2">
      <c r="K125" s="385" t="s">
        <v>571</v>
      </c>
      <c r="L125" s="146"/>
      <c r="M125" s="265"/>
      <c r="N125" s="265"/>
      <c r="O125" s="265"/>
      <c r="P125" s="265"/>
      <c r="Q125" s="265"/>
      <c r="R125" s="117"/>
      <c r="S125" s="155"/>
      <c r="T125" s="238">
        <v>0.24</v>
      </c>
      <c r="U125" s="209">
        <f t="shared" ca="1" si="2"/>
        <v>75.887999999999991</v>
      </c>
      <c r="V125" s="118">
        <f t="shared" ca="1" si="9"/>
        <v>9.4079999999999997E-2</v>
      </c>
      <c r="W125" s="204">
        <f t="shared" ca="1" si="12"/>
        <v>7.1395430399999986</v>
      </c>
      <c r="Y125" s="209">
        <f t="shared" ca="1" si="3"/>
        <v>75.887999999999991</v>
      </c>
      <c r="Z125" s="118">
        <f t="shared" ca="1" si="10"/>
        <v>9.4079999999999997E-2</v>
      </c>
      <c r="AA125" s="204">
        <f t="shared" ca="1" si="13"/>
        <v>7.1395430399999986</v>
      </c>
      <c r="AC125" s="209">
        <f t="shared" ca="1" si="4"/>
        <v>2.0999999999999998E-2</v>
      </c>
      <c r="AD125" s="118">
        <f t="shared" ca="1" si="5"/>
        <v>0</v>
      </c>
      <c r="AE125" s="118">
        <f t="shared" ca="1" si="6"/>
        <v>2.0999999999999998E-2</v>
      </c>
      <c r="AF125" s="118">
        <f t="shared" ca="1" si="7"/>
        <v>0.59302260492700487</v>
      </c>
      <c r="AG125" s="118">
        <f t="shared" ca="1" si="8"/>
        <v>151.92086038720285</v>
      </c>
      <c r="AH125" s="204">
        <f t="shared" ca="1" si="11"/>
        <v>3.1903380681312594</v>
      </c>
      <c r="AI125" s="259"/>
    </row>
    <row r="126" spans="11:35" x14ac:dyDescent="0.2">
      <c r="K126" s="385" t="s">
        <v>572</v>
      </c>
      <c r="L126" s="146"/>
      <c r="M126" s="265"/>
      <c r="N126" s="265"/>
      <c r="O126" s="265"/>
      <c r="P126" s="265"/>
      <c r="Q126" s="265"/>
      <c r="R126" s="117"/>
      <c r="S126" s="155"/>
      <c r="T126" s="238">
        <v>0.25</v>
      </c>
      <c r="U126" s="209">
        <f t="shared" ca="1" si="2"/>
        <v>79.05</v>
      </c>
      <c r="V126" s="118">
        <f t="shared" ca="1" si="9"/>
        <v>9.2999999999999999E-2</v>
      </c>
      <c r="W126" s="204">
        <f t="shared" ca="1" si="12"/>
        <v>7.3516499999999994</v>
      </c>
      <c r="Y126" s="209">
        <f t="shared" ca="1" si="3"/>
        <v>79.05</v>
      </c>
      <c r="Z126" s="118">
        <f t="shared" ca="1" si="10"/>
        <v>9.2999999999999999E-2</v>
      </c>
      <c r="AA126" s="204">
        <f t="shared" ca="1" si="13"/>
        <v>7.3516499999999994</v>
      </c>
      <c r="AC126" s="209">
        <f t="shared" ca="1" si="4"/>
        <v>2.1874999999999999E-2</v>
      </c>
      <c r="AD126" s="118">
        <f t="shared" ca="1" si="5"/>
        <v>0</v>
      </c>
      <c r="AE126" s="118">
        <f t="shared" ca="1" si="6"/>
        <v>2.1874999999999999E-2</v>
      </c>
      <c r="AF126" s="118">
        <f t="shared" ca="1" si="7"/>
        <v>0.5816226049270049</v>
      </c>
      <c r="AG126" s="118">
        <f t="shared" ca="1" si="8"/>
        <v>149.00040205386952</v>
      </c>
      <c r="AH126" s="204">
        <f t="shared" ca="1" si="11"/>
        <v>3.2593837949283957</v>
      </c>
      <c r="AI126" s="259"/>
    </row>
    <row r="127" spans="11:35" x14ac:dyDescent="0.2">
      <c r="K127" s="385" t="s">
        <v>573</v>
      </c>
      <c r="L127" s="146"/>
      <c r="M127" s="265"/>
      <c r="N127" s="265"/>
      <c r="O127" s="265"/>
      <c r="P127" s="265"/>
      <c r="Q127" s="265"/>
      <c r="R127" s="117"/>
      <c r="S127" s="155"/>
      <c r="T127" s="238">
        <v>0.26</v>
      </c>
      <c r="U127" s="209">
        <f t="shared" ca="1" si="2"/>
        <v>82.212000000000003</v>
      </c>
      <c r="V127" s="118">
        <f t="shared" ca="1" si="9"/>
        <v>9.1920000000000002E-2</v>
      </c>
      <c r="W127" s="204">
        <f t="shared" ca="1" si="12"/>
        <v>7.5569270400000006</v>
      </c>
      <c r="Y127" s="209">
        <f t="shared" ca="1" si="3"/>
        <v>82.212000000000003</v>
      </c>
      <c r="Z127" s="118">
        <f t="shared" ca="1" si="10"/>
        <v>9.1920000000000002E-2</v>
      </c>
      <c r="AA127" s="204">
        <f t="shared" ca="1" si="13"/>
        <v>7.5569270400000006</v>
      </c>
      <c r="AC127" s="209">
        <f t="shared" ca="1" si="4"/>
        <v>2.2749999999999999E-2</v>
      </c>
      <c r="AD127" s="118">
        <f t="shared" ca="1" si="5"/>
        <v>0</v>
      </c>
      <c r="AE127" s="118">
        <f t="shared" ca="1" si="6"/>
        <v>2.2749999999999999E-2</v>
      </c>
      <c r="AF127" s="118">
        <f t="shared" ca="1" si="7"/>
        <v>0.57022260492700483</v>
      </c>
      <c r="AG127" s="118">
        <f t="shared" ca="1" si="8"/>
        <v>146.07994372053616</v>
      </c>
      <c r="AH127" s="204">
        <f t="shared" ca="1" si="11"/>
        <v>3.3233187196421978</v>
      </c>
      <c r="AI127" s="259"/>
    </row>
    <row r="128" spans="11:35" x14ac:dyDescent="0.2">
      <c r="K128" s="385" t="s">
        <v>583</v>
      </c>
      <c r="L128" s="146"/>
      <c r="M128" s="265"/>
      <c r="N128" s="265"/>
      <c r="O128" s="265"/>
      <c r="P128" s="265"/>
      <c r="Q128" s="265"/>
      <c r="R128" s="117"/>
      <c r="S128" s="155"/>
      <c r="T128" s="238">
        <v>0.27</v>
      </c>
      <c r="U128" s="209">
        <f t="shared" ca="1" si="2"/>
        <v>85.374000000000009</v>
      </c>
      <c r="V128" s="118">
        <f t="shared" ca="1" si="9"/>
        <v>9.0840000000000004E-2</v>
      </c>
      <c r="W128" s="204">
        <f t="shared" ca="1" si="12"/>
        <v>7.7553741600000015</v>
      </c>
      <c r="Y128" s="209">
        <f t="shared" ca="1" si="3"/>
        <v>85.374000000000009</v>
      </c>
      <c r="Z128" s="118">
        <f t="shared" ca="1" si="10"/>
        <v>9.0840000000000004E-2</v>
      </c>
      <c r="AA128" s="204">
        <f t="shared" ca="1" si="13"/>
        <v>7.7553741600000015</v>
      </c>
      <c r="AC128" s="209">
        <f t="shared" ca="1" si="4"/>
        <v>2.3625E-2</v>
      </c>
      <c r="AD128" s="118">
        <f t="shared" ca="1" si="5"/>
        <v>0</v>
      </c>
      <c r="AE128" s="118">
        <f t="shared" ca="1" si="6"/>
        <v>2.3625E-2</v>
      </c>
      <c r="AF128" s="118">
        <f t="shared" ca="1" si="7"/>
        <v>0.55882260492700486</v>
      </c>
      <c r="AG128" s="118">
        <f t="shared" ca="1" si="8"/>
        <v>143.15948538720284</v>
      </c>
      <c r="AH128" s="204">
        <f t="shared" ca="1" si="11"/>
        <v>3.3821428422726671</v>
      </c>
      <c r="AI128" s="259"/>
    </row>
    <row r="129" spans="3:35" x14ac:dyDescent="0.2">
      <c r="G129" s="64" t="b">
        <v>1</v>
      </c>
      <c r="K129" s="304" t="s">
        <v>268</v>
      </c>
      <c r="L129" s="305" t="s">
        <v>547</v>
      </c>
      <c r="M129" s="306"/>
      <c r="N129" s="306"/>
      <c r="O129" s="306"/>
      <c r="P129" s="306"/>
      <c r="Q129" s="306"/>
      <c r="R129" s="117"/>
      <c r="S129" s="155"/>
      <c r="T129" s="238">
        <v>0.28000000000000003</v>
      </c>
      <c r="U129" s="209">
        <f t="shared" ca="1" si="2"/>
        <v>88.536000000000001</v>
      </c>
      <c r="V129" s="118">
        <f t="shared" ca="1" si="9"/>
        <v>8.9759999999999993E-2</v>
      </c>
      <c r="W129" s="204">
        <f t="shared" ca="1" si="12"/>
        <v>7.9469913599999993</v>
      </c>
      <c r="Y129" s="209">
        <f t="shared" ca="1" si="3"/>
        <v>88.536000000000001</v>
      </c>
      <c r="Z129" s="118">
        <f t="shared" ca="1" si="10"/>
        <v>8.9759999999999993E-2</v>
      </c>
      <c r="AA129" s="204">
        <f t="shared" ca="1" si="13"/>
        <v>7.9469913599999993</v>
      </c>
      <c r="AC129" s="209">
        <f t="shared" ca="1" si="4"/>
        <v>2.4500000000000001E-2</v>
      </c>
      <c r="AD129" s="118">
        <f t="shared" ca="1" si="5"/>
        <v>0</v>
      </c>
      <c r="AE129" s="118">
        <f t="shared" ca="1" si="6"/>
        <v>2.4500000000000001E-2</v>
      </c>
      <c r="AF129" s="118">
        <f t="shared" ca="1" si="7"/>
        <v>0.54742260492700479</v>
      </c>
      <c r="AG129" s="118">
        <f t="shared" ca="1" si="8"/>
        <v>140.23902705386951</v>
      </c>
      <c r="AH129" s="204">
        <f t="shared" ca="1" si="11"/>
        <v>3.4358561628198032</v>
      </c>
      <c r="AI129" s="259"/>
    </row>
    <row r="130" spans="3:35" x14ac:dyDescent="0.2">
      <c r="K130" s="140" t="s">
        <v>269</v>
      </c>
      <c r="L130" s="140" t="str">
        <f ca="1">IF(rF1.CheckWoodenSlabCalc,rP2.OutputEccentricityWoodenSlab,"")</f>
        <v/>
      </c>
      <c r="M130" s="140"/>
      <c r="N130" s="140"/>
      <c r="O130" s="140"/>
      <c r="P130" s="140"/>
      <c r="Q130" s="141"/>
      <c r="R130" s="117"/>
      <c r="S130" s="155"/>
      <c r="T130" s="238">
        <v>0.28999999999999998</v>
      </c>
      <c r="U130" s="209">
        <f t="shared" ca="1" si="2"/>
        <v>91.697999999999993</v>
      </c>
      <c r="V130" s="118">
        <f t="shared" ca="1" si="9"/>
        <v>8.8679999999999995E-2</v>
      </c>
      <c r="W130" s="204">
        <f t="shared" ca="1" si="12"/>
        <v>8.1317786399999985</v>
      </c>
      <c r="Y130" s="209">
        <f t="shared" ca="1" si="3"/>
        <v>91.697999999999993</v>
      </c>
      <c r="Z130" s="118">
        <f t="shared" ca="1" si="10"/>
        <v>8.8679999999999995E-2</v>
      </c>
      <c r="AA130" s="204">
        <f t="shared" ca="1" si="13"/>
        <v>8.1317786399999985</v>
      </c>
      <c r="AC130" s="209">
        <f t="shared" ca="1" si="4"/>
        <v>2.5374999999999998E-2</v>
      </c>
      <c r="AD130" s="118">
        <f t="shared" ca="1" si="5"/>
        <v>0</v>
      </c>
      <c r="AE130" s="118">
        <f t="shared" ca="1" si="6"/>
        <v>2.5374999999999998E-2</v>
      </c>
      <c r="AF130" s="118">
        <f t="shared" ca="1" si="7"/>
        <v>0.53602260492700482</v>
      </c>
      <c r="AG130" s="118">
        <f t="shared" ca="1" si="8"/>
        <v>137.31856872053615</v>
      </c>
      <c r="AH130" s="204">
        <f t="shared" ca="1" si="11"/>
        <v>3.4844586812836047</v>
      </c>
      <c r="AI130" s="259"/>
    </row>
    <row r="131" spans="3:35" x14ac:dyDescent="0.2">
      <c r="K131" s="142" t="s">
        <v>270</v>
      </c>
      <c r="L131" s="142"/>
      <c r="M131" s="143" t="s">
        <v>485</v>
      </c>
      <c r="N131" s="143" t="s">
        <v>212</v>
      </c>
      <c r="O131" s="143" t="s">
        <v>486</v>
      </c>
      <c r="P131" s="143"/>
      <c r="Q131" s="192"/>
      <c r="S131" s="155"/>
      <c r="T131" s="238">
        <v>0.3</v>
      </c>
      <c r="U131" s="209">
        <f t="shared" ca="1" si="2"/>
        <v>94.86</v>
      </c>
      <c r="V131" s="118">
        <f t="shared" ca="1" si="9"/>
        <v>8.7599999999999997E-2</v>
      </c>
      <c r="W131" s="204">
        <f t="shared" ca="1" si="12"/>
        <v>8.3097359999999991</v>
      </c>
      <c r="Y131" s="209">
        <f t="shared" ca="1" si="3"/>
        <v>94.86</v>
      </c>
      <c r="Z131" s="118">
        <f t="shared" ca="1" si="10"/>
        <v>8.7599999999999997E-2</v>
      </c>
      <c r="AA131" s="204">
        <f t="shared" ca="1" si="13"/>
        <v>8.3097359999999991</v>
      </c>
      <c r="AC131" s="209">
        <f t="shared" ca="1" si="4"/>
        <v>2.6249999999999999E-2</v>
      </c>
      <c r="AD131" s="118">
        <f t="shared" ca="1" si="5"/>
        <v>0</v>
      </c>
      <c r="AE131" s="118">
        <f t="shared" ca="1" si="6"/>
        <v>2.6249999999999999E-2</v>
      </c>
      <c r="AF131" s="118">
        <f t="shared" ca="1" si="7"/>
        <v>0.52462260492700485</v>
      </c>
      <c r="AG131" s="118">
        <f t="shared" ca="1" si="8"/>
        <v>134.39811038720285</v>
      </c>
      <c r="AH131" s="204">
        <f t="shared" ca="1" si="11"/>
        <v>3.5279503976640747</v>
      </c>
      <c r="AI131" s="259"/>
    </row>
    <row r="132" spans="3:35" x14ac:dyDescent="0.2">
      <c r="C132" s="194"/>
      <c r="K132" s="146" t="s">
        <v>213</v>
      </c>
      <c r="L132" s="146"/>
      <c r="M132" s="307" t="str">
        <f ca="1">OFFSET(rL2.MainGroupsHead01,rF1.MainGroupSelection,0,1,1)</f>
        <v>Streifenfundament</v>
      </c>
      <c r="N132" s="307" t="str">
        <f ca="1">OFFSET(rL2.MainGroupsHead02,rF1.MainGroupSelection,0,1,1)</f>
        <v>Innenwände/Hintermauerung Außenwände</v>
      </c>
      <c r="O132" s="307" t="str">
        <f ca="1">OFFSET(rL2.MainGroupsHead03,rF1.MainGroupSelection,0,1,1)</f>
        <v>Innenwände/Hintermauerung Außenwände</v>
      </c>
      <c r="P132" s="146"/>
      <c r="Q132" s="146"/>
      <c r="S132" s="155"/>
      <c r="T132" s="238">
        <v>0.31</v>
      </c>
      <c r="U132" s="209">
        <f t="shared" ref="U132:U163" ca="1" si="14">IF(rF1.CheckWoodenSlabCalc,0,rF1.PlotAxForceFactor*rF1.PlotAxResistanceMaxTop)</f>
        <v>98.021999999999991</v>
      </c>
      <c r="V132" s="118">
        <f t="shared" ca="1" si="9"/>
        <v>8.652E-2</v>
      </c>
      <c r="W132" s="204">
        <f t="shared" ca="1" si="12"/>
        <v>8.4808634399999985</v>
      </c>
      <c r="Y132" s="209">
        <f t="shared" ref="Y132:Y163" ca="1" si="15">IF(rF1.CheckWoodenSlabCalc,0,rF1.PlotAxForceFactor*rF1.PlotAxResistanceMaxBottom)</f>
        <v>98.021999999999991</v>
      </c>
      <c r="Z132" s="118">
        <f t="shared" ca="1" si="10"/>
        <v>8.652E-2</v>
      </c>
      <c r="AA132" s="204">
        <f t="shared" ca="1" si="13"/>
        <v>8.4808634399999985</v>
      </c>
      <c r="AC132" s="209">
        <f t="shared" ca="1" si="4"/>
        <v>2.7125E-2</v>
      </c>
      <c r="AD132" s="118">
        <f t="shared" ca="1" si="5"/>
        <v>0</v>
      </c>
      <c r="AE132" s="118">
        <f t="shared" ca="1" si="6"/>
        <v>2.7125E-2</v>
      </c>
      <c r="AF132" s="118">
        <f t="shared" ref="AF132:AF163" ca="1" si="16">MIN(1.14*(1-2*rF1.PlotExcentricityTotalMiddle/rF1.WallThickness02)-0.024*rF1.WallHeightEffective/rF1.WallThickness02,1-2*rF1.PlotExcentricityTotalMiddle/rF1.WallThickness02)</f>
        <v>0.51322260492700478</v>
      </c>
      <c r="AG132" s="118">
        <f t="shared" ref="AG132:AG163" ca="1" si="17">IF(rF1.CheckWoodenSlabCalc,0,rF1.PlotReductionParameterMiddle*rF1.WallThickness02*rF1.ReductionMasonryStrenghtArea02*rF1.ReductionMasonryStrengthLongTerm*rF1.MasonryStrenghtChar02/rF1.SafetyFactorMaterial02*1000)</f>
        <v>131.47765205386949</v>
      </c>
      <c r="AH132" s="204">
        <f t="shared" ca="1" si="11"/>
        <v>3.5663313119612101</v>
      </c>
      <c r="AI132" s="259"/>
    </row>
    <row r="133" spans="3:35" x14ac:dyDescent="0.2">
      <c r="C133" s="308">
        <v>0</v>
      </c>
      <c r="K133" s="266" t="s">
        <v>271</v>
      </c>
      <c r="L133" s="266"/>
      <c r="M133" s="309" t="e">
        <f ca="1">IF(rF1.CheckConcreteWall,"-",OFFSET(INDIRECT(rF1.BrickListNumber),MIN(rF1.BrickProductSelection*1,COUNTA(rF1.BrickList01)),rF1.ColumnPlacementFactor,1,1))</f>
        <v>#REF!</v>
      </c>
      <c r="N133" s="309" t="str">
        <f ca="1">OFFSET(INDIRECT(rF1.BrickListNumber),MIN(rF1.BrickProductSelection*1,COUNTA(rF1.BrickList02)),rF1.ColumnPlacementFactor,1,1)</f>
        <v>Plan-T 17,5-0,8 Dryfix (γM=1,8 berücksichtigt)</v>
      </c>
      <c r="O133" s="309" t="str">
        <f ca="1">OFFSET(INDIRECT(rF1.BrickListNumber),MIN(rF1.BrickProductSelection*1,COUNTA(rF1.BrickList03)),rF1.ColumnPlacementFactor,1,1)</f>
        <v>Plan-T 17,5-0,8 Dryfix (γM=1,8 berücksichtigt)</v>
      </c>
      <c r="P133" s="266"/>
      <c r="Q133" s="266"/>
      <c r="S133" s="155"/>
      <c r="T133" s="238">
        <v>0.32</v>
      </c>
      <c r="U133" s="209">
        <f t="shared" ca="1" si="14"/>
        <v>101.184</v>
      </c>
      <c r="V133" s="118">
        <f t="shared" ref="V133:V164" ca="1" si="18">rF1.PlotWallThicknessNettoTop/2-rF1.PlotAxForceTop*rF1.SafetyFactorMaterial02/(1000*2*rF1.MasonryStrenghtChar02*rF1.ReductionMasonryStrenghtArea02*rF1.ReductionMasonryStrengthLongTerm)</f>
        <v>8.5439999999999988E-2</v>
      </c>
      <c r="W133" s="204">
        <f t="shared" ref="W133:W164" ca="1" si="19">rF1.PlotAxForceTop*rF1.PlotExcentricityTop</f>
        <v>8.6451609599999983</v>
      </c>
      <c r="Y133" s="209">
        <f t="shared" ca="1" si="15"/>
        <v>101.184</v>
      </c>
      <c r="Z133" s="118">
        <f t="shared" ref="Z133:Z164" ca="1" si="20">rF1.PlotWallThicknessNettoBottom/2-rF1.PlotAxForceBottom*rF1.SafetyFactorMaterial02/(1000*2*rF1.MasonryStrenghtChar02*rF1.ReductionMasonryStrenghtArea02*rF1.ReductionMasonryStrengthLongTerm)</f>
        <v>8.5439999999999988E-2</v>
      </c>
      <c r="AA133" s="204">
        <f t="shared" ref="AA133:AA164" ca="1" si="21">rF1.PlotAxForceBottom*rF1.PlotExcentricityBottom</f>
        <v>8.6451609599999983</v>
      </c>
      <c r="AC133" s="209">
        <f t="shared" ref="AC133:AC164" ca="1" si="22">rF1.PlotAxForceFactor*rF1.PlotExcentricityLoadMax</f>
        <v>2.7999999999999997E-2</v>
      </c>
      <c r="AD133" s="118">
        <f t="shared" ref="AD133:AD164" ca="1" si="23">IF(rF1.WallSlenderness02&lt;=rP1.MaxSlendernessCreepEcc,0,0.002*rP1.CreepCoefficient*rF1.WallHeightBuckling/rF1.WallHeight02*SQRT(rF1.WallHeight02*rF1.PlotExcentricityLoadMiddle))</f>
        <v>0</v>
      </c>
      <c r="AE133" s="118">
        <f t="shared" ref="AE133:AE164" ca="1" si="24">MAX(rF1.PlotExcentricityCreepMiddle+rF1.PlotExcentricityLoadMiddle,0.05*rF1.WallThickness02)</f>
        <v>2.7999999999999997E-2</v>
      </c>
      <c r="AF133" s="118">
        <f t="shared" ca="1" si="16"/>
        <v>0.50182260492700481</v>
      </c>
      <c r="AG133" s="118">
        <f t="shared" ca="1" si="17"/>
        <v>128.55719372053616</v>
      </c>
      <c r="AH133" s="204">
        <f t="shared" ref="AH133:AH164" ca="1" si="25">rF1.PlotExcentricityTotalMiddle*rF1.PlotAxForceMiddle</f>
        <v>3.5996014241750123</v>
      </c>
      <c r="AI133" s="259"/>
    </row>
    <row r="134" spans="3:35" x14ac:dyDescent="0.2">
      <c r="C134" s="308">
        <v>7</v>
      </c>
      <c r="K134" s="146" t="s">
        <v>463</v>
      </c>
      <c r="L134" s="146"/>
      <c r="M134" s="310" t="str">
        <f ca="1">IF(rF1.CheckConcreteWall,OFFSET(rD3.Knoten,MIN(rF1.ConcreteFillSelection*1,COUNTA(rF1.ConcreteFillList01)),0,1,1),IF(rF1.CheckFoundation=1,"-",OFFSET(INDIRECT(rF1.BrickListNumber),MIN(rF1.BrickProductSelection*1,COUNTA(rF1.BrickList01)),rF1.ColumnPlacementFactor,1,1)))</f>
        <v>-</v>
      </c>
      <c r="N134" s="310">
        <f ca="1">OFFSET(INDIRECT(rF1.BrickListNumber),MIN(rF1.BrickProductSelection*1,COUNTA(rF1.BrickList02)),rF1.ColumnPlacementFactor,1,1)</f>
        <v>12</v>
      </c>
      <c r="O134" s="310">
        <f ca="1">OFFSET(INDIRECT(rF1.BrickListNumber),MIN(rF1.BrickProductSelection*1,COUNTA(rF1.BrickList03)),rF1.ColumnPlacementFactor,1,1)</f>
        <v>12</v>
      </c>
      <c r="P134" s="146"/>
      <c r="Q134" s="146"/>
      <c r="R134" s="402"/>
      <c r="S134" s="155"/>
      <c r="T134" s="238">
        <v>0.33</v>
      </c>
      <c r="U134" s="209">
        <f t="shared" ca="1" si="14"/>
        <v>104.346</v>
      </c>
      <c r="V134" s="118">
        <f t="shared" ca="1" si="18"/>
        <v>8.4359999999999991E-2</v>
      </c>
      <c r="W134" s="204">
        <f t="shared" ca="1" si="19"/>
        <v>8.8026285599999987</v>
      </c>
      <c r="Y134" s="209">
        <f t="shared" ca="1" si="15"/>
        <v>104.346</v>
      </c>
      <c r="Z134" s="118">
        <f t="shared" ca="1" si="20"/>
        <v>8.4359999999999991E-2</v>
      </c>
      <c r="AA134" s="204">
        <f t="shared" ca="1" si="21"/>
        <v>8.8026285599999987</v>
      </c>
      <c r="AC134" s="209">
        <f t="shared" ca="1" si="22"/>
        <v>2.8874999999999998E-2</v>
      </c>
      <c r="AD134" s="118">
        <f t="shared" ca="1" si="23"/>
        <v>0</v>
      </c>
      <c r="AE134" s="118">
        <f t="shared" ca="1" si="24"/>
        <v>2.8874999999999998E-2</v>
      </c>
      <c r="AF134" s="118">
        <f t="shared" ca="1" si="16"/>
        <v>0.49042260492700473</v>
      </c>
      <c r="AG134" s="118">
        <f t="shared" ca="1" si="17"/>
        <v>125.63673538720282</v>
      </c>
      <c r="AH134" s="204">
        <f t="shared" ca="1" si="25"/>
        <v>3.6277607343054812</v>
      </c>
      <c r="AI134" s="259"/>
    </row>
    <row r="135" spans="3:35" x14ac:dyDescent="0.2">
      <c r="C135" s="308">
        <v>6</v>
      </c>
      <c r="K135" s="311" t="s">
        <v>464</v>
      </c>
      <c r="L135" s="266"/>
      <c r="M135" s="312" t="e">
        <f ca="1">IF(rF1.CheckConcreteWall,"-",OFFSET(INDIRECT(rF1.BrickListNumber),MIN(rF1.BrickProductSelection*1,COUNTA(rF1.BrickList01)),rF1.ColumnPlacementFactor,1,1))</f>
        <v>#REF!</v>
      </c>
      <c r="N135" s="312">
        <f ca="1">OFFSET(INDIRECT(rF1.BrickListNumber),MIN(rF1.BrickProductSelection*1,COUNTA(rF1.BrickList02)),rF1.ColumnPlacementFactor,1,1)</f>
        <v>0.8</v>
      </c>
      <c r="O135" s="312">
        <f ca="1">OFFSET(INDIRECT(rF1.BrickListNumber),MIN(rF1.BrickProductSelection*1,COUNTA(rF1.BrickList03)),rF1.ColumnPlacementFactor,1,1)</f>
        <v>0.8</v>
      </c>
      <c r="P135" s="266"/>
      <c r="Q135" s="266"/>
      <c r="R135" s="402"/>
      <c r="S135" s="155"/>
      <c r="T135" s="238">
        <v>0.34</v>
      </c>
      <c r="U135" s="209">
        <f t="shared" ca="1" si="14"/>
        <v>107.50800000000001</v>
      </c>
      <c r="V135" s="118">
        <f t="shared" ca="1" si="18"/>
        <v>8.3279999999999993E-2</v>
      </c>
      <c r="W135" s="204">
        <f t="shared" ca="1" si="19"/>
        <v>8.9532662399999996</v>
      </c>
      <c r="Y135" s="209">
        <f t="shared" ca="1" si="15"/>
        <v>107.50800000000001</v>
      </c>
      <c r="Z135" s="118">
        <f t="shared" ca="1" si="20"/>
        <v>8.3279999999999993E-2</v>
      </c>
      <c r="AA135" s="204">
        <f t="shared" ca="1" si="21"/>
        <v>8.9532662399999996</v>
      </c>
      <c r="AC135" s="209">
        <f t="shared" ca="1" si="22"/>
        <v>2.9749999999999999E-2</v>
      </c>
      <c r="AD135" s="118">
        <f t="shared" ca="1" si="23"/>
        <v>0</v>
      </c>
      <c r="AE135" s="118">
        <f t="shared" ca="1" si="24"/>
        <v>2.9749999999999999E-2</v>
      </c>
      <c r="AF135" s="118">
        <f t="shared" ca="1" si="16"/>
        <v>0.47902260492700477</v>
      </c>
      <c r="AG135" s="118">
        <f t="shared" ca="1" si="17"/>
        <v>122.71627705386949</v>
      </c>
      <c r="AH135" s="204">
        <f t="shared" ca="1" si="25"/>
        <v>3.6508092423526173</v>
      </c>
      <c r="AI135" s="259"/>
    </row>
    <row r="136" spans="3:35" x14ac:dyDescent="0.2">
      <c r="C136" s="313">
        <v>22</v>
      </c>
      <c r="K136" s="170" t="s">
        <v>508</v>
      </c>
      <c r="L136" s="146"/>
      <c r="M136" s="314" t="e">
        <f ca="1">IF(rF1.CheckConcreteWall,"-",OFFSET(INDIRECT(rF1.BrickListNumber),MIN(rF1.BrickProductSelection*1,COUNTA(rF1.BrickList01)),rF1.ColumnPlacementFactor,1,1))</f>
        <v>#REF!</v>
      </c>
      <c r="N136" s="314">
        <f ca="1">OFFSET(INDIRECT(rF1.BrickListNumber),MIN(rF1.BrickProductSelection*1,COUNTA(rF1.BrickList02)),rF1.ColumnPlacementFactor,1,1)</f>
        <v>35</v>
      </c>
      <c r="O136" s="314">
        <f ca="1">OFFSET(INDIRECT(rF1.BrickListNumber),MIN(rF1.BrickProductSelection*1,COUNTA(rF1.BrickList03)),rF1.ColumnPlacementFactor,1,1)</f>
        <v>35</v>
      </c>
      <c r="P136" s="146"/>
      <c r="Q136" s="146"/>
      <c r="R136" s="402"/>
      <c r="S136" s="155"/>
      <c r="T136" s="238">
        <v>0.35</v>
      </c>
      <c r="U136" s="209">
        <f t="shared" ca="1" si="14"/>
        <v>110.66999999999999</v>
      </c>
      <c r="V136" s="118">
        <f t="shared" ca="1" si="18"/>
        <v>8.2199999999999995E-2</v>
      </c>
      <c r="W136" s="204">
        <f t="shared" ca="1" si="19"/>
        <v>9.0970739999999992</v>
      </c>
      <c r="Y136" s="209">
        <f t="shared" ca="1" si="15"/>
        <v>110.66999999999999</v>
      </c>
      <c r="Z136" s="118">
        <f t="shared" ca="1" si="20"/>
        <v>8.2199999999999995E-2</v>
      </c>
      <c r="AA136" s="204">
        <f t="shared" ca="1" si="21"/>
        <v>9.0970739999999992</v>
      </c>
      <c r="AC136" s="209">
        <f t="shared" ca="1" si="22"/>
        <v>3.0624999999999996E-2</v>
      </c>
      <c r="AD136" s="118">
        <f t="shared" ca="1" si="23"/>
        <v>0</v>
      </c>
      <c r="AE136" s="118">
        <f t="shared" ca="1" si="24"/>
        <v>3.0624999999999996E-2</v>
      </c>
      <c r="AF136" s="118">
        <f t="shared" ca="1" si="16"/>
        <v>0.46762260492700491</v>
      </c>
      <c r="AG136" s="118">
        <f t="shared" ca="1" si="17"/>
        <v>119.79581872053619</v>
      </c>
      <c r="AH136" s="204">
        <f t="shared" ca="1" si="25"/>
        <v>3.6687469483164201</v>
      </c>
      <c r="AI136" s="259"/>
    </row>
    <row r="137" spans="3:35" x14ac:dyDescent="0.2">
      <c r="K137" s="142" t="s">
        <v>272</v>
      </c>
      <c r="L137" s="142"/>
      <c r="M137" s="143"/>
      <c r="N137" s="143"/>
      <c r="O137" s="143"/>
      <c r="P137" s="143"/>
      <c r="Q137" s="192"/>
      <c r="R137" s="402"/>
      <c r="S137" s="155"/>
      <c r="T137" s="238">
        <v>0.36</v>
      </c>
      <c r="U137" s="209">
        <f t="shared" ca="1" si="14"/>
        <v>113.83199999999999</v>
      </c>
      <c r="V137" s="118">
        <f t="shared" ca="1" si="18"/>
        <v>8.1119999999999998E-2</v>
      </c>
      <c r="W137" s="204">
        <f t="shared" ca="1" si="19"/>
        <v>9.2340518399999993</v>
      </c>
      <c r="Y137" s="209">
        <f t="shared" ca="1" si="15"/>
        <v>113.83199999999999</v>
      </c>
      <c r="Z137" s="118">
        <f t="shared" ca="1" si="20"/>
        <v>8.1119999999999998E-2</v>
      </c>
      <c r="AA137" s="204">
        <f t="shared" ca="1" si="21"/>
        <v>9.2340518399999993</v>
      </c>
      <c r="AC137" s="209">
        <f t="shared" ca="1" si="22"/>
        <v>3.15E-2</v>
      </c>
      <c r="AD137" s="118">
        <f t="shared" ca="1" si="23"/>
        <v>0</v>
      </c>
      <c r="AE137" s="118">
        <f t="shared" ca="1" si="24"/>
        <v>3.15E-2</v>
      </c>
      <c r="AF137" s="118">
        <f t="shared" ca="1" si="16"/>
        <v>0.45622260492700473</v>
      </c>
      <c r="AG137" s="118">
        <f t="shared" ca="1" si="17"/>
        <v>116.8753603872028</v>
      </c>
      <c r="AH137" s="204">
        <f t="shared" ca="1" si="25"/>
        <v>3.6815738521968884</v>
      </c>
      <c r="AI137" s="259"/>
    </row>
    <row r="138" spans="3:35" x14ac:dyDescent="0.2">
      <c r="C138" s="194"/>
      <c r="K138" s="170" t="s">
        <v>273</v>
      </c>
      <c r="L138" s="146"/>
      <c r="M138" s="315"/>
      <c r="N138" s="315">
        <f ca="1">IF(rF1.WallArea&lt;rP1.MaxWallAreaReduction,IF(rF1.PerforationFactor&lt;rP1.MaxPerfFactorReduction,0.7+3*rF1.WallArea,rP1.ReductionMasonryStrengthArea),1)</f>
        <v>1</v>
      </c>
      <c r="O138" s="315"/>
      <c r="P138" s="146"/>
      <c r="Q138" s="146"/>
      <c r="R138" s="402"/>
      <c r="S138" s="155"/>
      <c r="T138" s="238">
        <v>0.37</v>
      </c>
      <c r="U138" s="209">
        <f t="shared" ca="1" si="14"/>
        <v>116.994</v>
      </c>
      <c r="V138" s="118">
        <f t="shared" ca="1" si="18"/>
        <v>8.004E-2</v>
      </c>
      <c r="W138" s="204">
        <f t="shared" ca="1" si="19"/>
        <v>9.36419976</v>
      </c>
      <c r="Y138" s="209">
        <f t="shared" ca="1" si="15"/>
        <v>116.994</v>
      </c>
      <c r="Z138" s="118">
        <f t="shared" ca="1" si="20"/>
        <v>8.004E-2</v>
      </c>
      <c r="AA138" s="204">
        <f t="shared" ca="1" si="21"/>
        <v>9.36419976</v>
      </c>
      <c r="AC138" s="209">
        <f t="shared" ca="1" si="22"/>
        <v>3.2375000000000001E-2</v>
      </c>
      <c r="AD138" s="118">
        <f t="shared" ca="1" si="23"/>
        <v>0</v>
      </c>
      <c r="AE138" s="118">
        <f t="shared" ca="1" si="24"/>
        <v>3.2375000000000001E-2</v>
      </c>
      <c r="AF138" s="118">
        <f t="shared" ca="1" si="16"/>
        <v>0.44482260492700476</v>
      </c>
      <c r="AG138" s="118">
        <f t="shared" ca="1" si="17"/>
        <v>113.95490205386949</v>
      </c>
      <c r="AH138" s="204">
        <f t="shared" ca="1" si="25"/>
        <v>3.6892899539940247</v>
      </c>
      <c r="AI138" s="259"/>
    </row>
    <row r="139" spans="3:35" x14ac:dyDescent="0.2">
      <c r="C139" s="308"/>
      <c r="K139" s="311" t="s">
        <v>382</v>
      </c>
      <c r="L139" s="316" t="s">
        <v>383</v>
      </c>
      <c r="M139" s="317"/>
      <c r="N139" s="317">
        <f>rP2.LongTermFactor</f>
        <v>0.85</v>
      </c>
      <c r="O139" s="317"/>
      <c r="P139" s="266"/>
      <c r="Q139" s="266"/>
      <c r="S139" s="155"/>
      <c r="T139" s="238">
        <v>0.38</v>
      </c>
      <c r="U139" s="209">
        <f t="shared" ca="1" si="14"/>
        <v>120.15599999999999</v>
      </c>
      <c r="V139" s="118">
        <f t="shared" ca="1" si="18"/>
        <v>7.8960000000000002E-2</v>
      </c>
      <c r="W139" s="204">
        <f t="shared" ca="1" si="19"/>
        <v>9.4875177599999994</v>
      </c>
      <c r="Y139" s="209">
        <f t="shared" ca="1" si="15"/>
        <v>120.15599999999999</v>
      </c>
      <c r="Z139" s="118">
        <f t="shared" ca="1" si="20"/>
        <v>7.8960000000000002E-2</v>
      </c>
      <c r="AA139" s="204">
        <f t="shared" ca="1" si="21"/>
        <v>9.4875177599999994</v>
      </c>
      <c r="AC139" s="209">
        <f t="shared" ca="1" si="22"/>
        <v>3.3249999999999995E-2</v>
      </c>
      <c r="AD139" s="118">
        <f t="shared" ca="1" si="23"/>
        <v>0</v>
      </c>
      <c r="AE139" s="118">
        <f t="shared" ca="1" si="24"/>
        <v>3.3249999999999995E-2</v>
      </c>
      <c r="AF139" s="118">
        <f t="shared" ca="1" si="16"/>
        <v>0.43342260492700502</v>
      </c>
      <c r="AG139" s="118">
        <f t="shared" ca="1" si="17"/>
        <v>111.03444372053622</v>
      </c>
      <c r="AH139" s="204">
        <f t="shared" ca="1" si="25"/>
        <v>3.6918952537078287</v>
      </c>
      <c r="AI139" s="259"/>
    </row>
    <row r="140" spans="3:35" ht="15.75" x14ac:dyDescent="0.2">
      <c r="C140" s="308">
        <v>8</v>
      </c>
      <c r="K140" s="170" t="s">
        <v>215</v>
      </c>
      <c r="L140" s="146" t="s">
        <v>43</v>
      </c>
      <c r="M140" s="295" t="e">
        <f ca="1">IF(rF1.CheckConcreteWall,"-",OFFSET(INDIRECT(rF1.BrickListNumber),MIN(rF1.BrickProductSelection*1,COUNTA(rF1.BrickList01)),rF1.ColumnPlacementFactor,1,1))</f>
        <v>#REF!</v>
      </c>
      <c r="N140" s="295">
        <f ca="1">OFFSET(INDIRECT(rF1.BrickListNumber),MIN(rF1.BrickProductSelection*1,COUNTA(rF1.BrickList02)),rF1.ColumnPlacementFactor,1,1)</f>
        <v>2.5833333333333335</v>
      </c>
      <c r="O140" s="295">
        <f ca="1">OFFSET(INDIRECT(rF1.BrickListNumber),MIN(rF1.BrickProductSelection*1,COUNTA(rF1.BrickList03)),rF1.ColumnPlacementFactor,1,1)</f>
        <v>2.5833333333333335</v>
      </c>
      <c r="P140" s="146"/>
      <c r="Q140" s="146"/>
      <c r="R140" s="402"/>
      <c r="S140" s="155"/>
      <c r="T140" s="238">
        <v>0.39</v>
      </c>
      <c r="U140" s="209">
        <f t="shared" ca="1" si="14"/>
        <v>123.318</v>
      </c>
      <c r="V140" s="118">
        <f t="shared" ca="1" si="18"/>
        <v>7.7880000000000005E-2</v>
      </c>
      <c r="W140" s="204">
        <f t="shared" ca="1" si="19"/>
        <v>9.604005840000001</v>
      </c>
      <c r="Y140" s="209">
        <f t="shared" ca="1" si="15"/>
        <v>123.318</v>
      </c>
      <c r="Z140" s="118">
        <f t="shared" ca="1" si="20"/>
        <v>7.7880000000000005E-2</v>
      </c>
      <c r="AA140" s="204">
        <f t="shared" ca="1" si="21"/>
        <v>9.604005840000001</v>
      </c>
      <c r="AC140" s="209">
        <f t="shared" ca="1" si="22"/>
        <v>3.4124999999999996E-2</v>
      </c>
      <c r="AD140" s="118">
        <f t="shared" ca="1" si="23"/>
        <v>0</v>
      </c>
      <c r="AE140" s="118">
        <f t="shared" ca="1" si="24"/>
        <v>3.4124999999999996E-2</v>
      </c>
      <c r="AF140" s="118">
        <f t="shared" ca="1" si="16"/>
        <v>0.42202260492700494</v>
      </c>
      <c r="AG140" s="118">
        <f t="shared" ca="1" si="17"/>
        <v>108.11398538720285</v>
      </c>
      <c r="AH140" s="204">
        <f t="shared" ca="1" si="25"/>
        <v>3.6893897513382967</v>
      </c>
      <c r="AI140" s="259"/>
    </row>
    <row r="141" spans="3:35" ht="15.75" x14ac:dyDescent="0.2">
      <c r="C141" s="313"/>
      <c r="K141" s="311" t="s">
        <v>274</v>
      </c>
      <c r="L141" s="266" t="s">
        <v>78</v>
      </c>
      <c r="M141" s="317"/>
      <c r="N141" s="317">
        <f ca="1">OFFSET(rD4.Knoten05,rF1.DesignSitSelection,1,1,1)</f>
        <v>1.5</v>
      </c>
      <c r="O141" s="317"/>
      <c r="P141" s="266"/>
      <c r="Q141" s="266"/>
      <c r="R141" s="402"/>
      <c r="S141" s="155"/>
      <c r="T141" s="238">
        <v>0.4</v>
      </c>
      <c r="U141" s="209">
        <f t="shared" ca="1" si="14"/>
        <v>126.48</v>
      </c>
      <c r="V141" s="118">
        <f t="shared" ca="1" si="18"/>
        <v>7.6800000000000007E-2</v>
      </c>
      <c r="W141" s="204">
        <f t="shared" ca="1" si="19"/>
        <v>9.7136640000000014</v>
      </c>
      <c r="Y141" s="209">
        <f t="shared" ca="1" si="15"/>
        <v>126.48</v>
      </c>
      <c r="Z141" s="118">
        <f t="shared" ca="1" si="20"/>
        <v>7.6800000000000007E-2</v>
      </c>
      <c r="AA141" s="204">
        <f t="shared" ca="1" si="21"/>
        <v>9.7136640000000014</v>
      </c>
      <c r="AC141" s="209">
        <f t="shared" ca="1" si="22"/>
        <v>3.4999999999999996E-2</v>
      </c>
      <c r="AD141" s="118">
        <f t="shared" ca="1" si="23"/>
        <v>0</v>
      </c>
      <c r="AE141" s="118">
        <f t="shared" ca="1" si="24"/>
        <v>3.4999999999999996E-2</v>
      </c>
      <c r="AF141" s="118">
        <f t="shared" ca="1" si="16"/>
        <v>0.41062260492700497</v>
      </c>
      <c r="AG141" s="118">
        <f t="shared" ca="1" si="17"/>
        <v>105.19352705386953</v>
      </c>
      <c r="AH141" s="204">
        <f t="shared" ca="1" si="25"/>
        <v>3.6817734468854333</v>
      </c>
      <c r="AI141" s="259"/>
    </row>
    <row r="142" spans="3:35" x14ac:dyDescent="0.2">
      <c r="K142" s="142" t="s">
        <v>275</v>
      </c>
      <c r="L142" s="142"/>
      <c r="M142" s="143"/>
      <c r="N142" s="143"/>
      <c r="O142" s="143"/>
      <c r="P142" s="143"/>
      <c r="Q142" s="192"/>
      <c r="R142" s="402"/>
      <c r="S142" s="155"/>
      <c r="T142" s="238">
        <v>0.41</v>
      </c>
      <c r="U142" s="209">
        <f t="shared" ca="1" si="14"/>
        <v>129.642</v>
      </c>
      <c r="V142" s="118">
        <f t="shared" ca="1" si="18"/>
        <v>7.572000000000001E-2</v>
      </c>
      <c r="W142" s="204">
        <f t="shared" ca="1" si="19"/>
        <v>9.8164922400000005</v>
      </c>
      <c r="Y142" s="209">
        <f t="shared" ca="1" si="15"/>
        <v>129.642</v>
      </c>
      <c r="Z142" s="118">
        <f t="shared" ca="1" si="20"/>
        <v>7.572000000000001E-2</v>
      </c>
      <c r="AA142" s="204">
        <f t="shared" ca="1" si="21"/>
        <v>9.8164922400000005</v>
      </c>
      <c r="AC142" s="209">
        <f t="shared" ca="1" si="22"/>
        <v>3.5874999999999997E-2</v>
      </c>
      <c r="AD142" s="118">
        <f t="shared" ca="1" si="23"/>
        <v>0</v>
      </c>
      <c r="AE142" s="118">
        <f t="shared" ca="1" si="24"/>
        <v>3.5874999999999997E-2</v>
      </c>
      <c r="AF142" s="118">
        <f t="shared" ca="1" si="16"/>
        <v>0.39922260492700501</v>
      </c>
      <c r="AG142" s="118">
        <f t="shared" ca="1" si="17"/>
        <v>102.2730687205362</v>
      </c>
      <c r="AH142" s="204">
        <f t="shared" ca="1" si="25"/>
        <v>3.6690463403492362</v>
      </c>
      <c r="AI142" s="259"/>
    </row>
    <row r="143" spans="3:35" x14ac:dyDescent="0.2">
      <c r="C143" s="194">
        <v>3</v>
      </c>
      <c r="K143" s="146" t="s">
        <v>216</v>
      </c>
      <c r="L143" s="146" t="s">
        <v>42</v>
      </c>
      <c r="M143" s="318">
        <f ca="1">IF(rF1.CheckFoundation,rF1.PlotFoundationWidth,IF(rF1.CheckConcreteWall,OFFSET(rL4.ConcWallThicknessHead,MIN(rF1.BrickProductSelection*1,COUNTA(rF1.BrickList01)),0,1,1),OFFSET(INDIRECT(rF1.BrickListNumber),MIN(rF1.BrickProductSelection*1,COUNTA(rF1.BrickList01)),rF1.ColumnPlacementFactor,1,1)/100))</f>
        <v>1.5</v>
      </c>
      <c r="N143" s="318">
        <f ca="1">OFFSET(INDIRECT(rF1.BrickListNumber),MIN(rF1.BrickProductSelection*1,COUNTA(rF1.BrickList02)),rF1.ColumnPlacementFactor,1,1)/100</f>
        <v>0.17499999999999999</v>
      </c>
      <c r="O143" s="318">
        <f ca="1">IF(rF1.CheckWallNotExisting=1,0,OFFSET(INDIRECT(rF1.BrickListNumber),MIN(rF1.BrickProductSelection*1,COUNTA(rF1.BrickList03)),rF1.ColumnPlacementFactor,1,1)/100)</f>
        <v>0.17499999999999999</v>
      </c>
      <c r="P143" s="319"/>
      <c r="Q143" s="319"/>
      <c r="R143" s="402"/>
      <c r="S143" s="155"/>
      <c r="T143" s="238">
        <v>0.42</v>
      </c>
      <c r="U143" s="209">
        <f t="shared" ca="1" si="14"/>
        <v>132.804</v>
      </c>
      <c r="V143" s="118">
        <f t="shared" ca="1" si="18"/>
        <v>7.4639999999999998E-2</v>
      </c>
      <c r="W143" s="204">
        <f t="shared" ca="1" si="19"/>
        <v>9.9124905600000002</v>
      </c>
      <c r="Y143" s="209">
        <f t="shared" ca="1" si="15"/>
        <v>132.804</v>
      </c>
      <c r="Z143" s="118">
        <f t="shared" ca="1" si="20"/>
        <v>7.4639999999999998E-2</v>
      </c>
      <c r="AA143" s="204">
        <f t="shared" ca="1" si="21"/>
        <v>9.9124905600000002</v>
      </c>
      <c r="AC143" s="209">
        <f t="shared" ca="1" si="22"/>
        <v>3.6749999999999998E-2</v>
      </c>
      <c r="AD143" s="118">
        <f t="shared" ca="1" si="23"/>
        <v>0</v>
      </c>
      <c r="AE143" s="118">
        <f t="shared" ca="1" si="24"/>
        <v>3.6749999999999998E-2</v>
      </c>
      <c r="AF143" s="118">
        <f t="shared" ca="1" si="16"/>
        <v>0.38782260492700493</v>
      </c>
      <c r="AG143" s="118">
        <f t="shared" ca="1" si="17"/>
        <v>99.352610387202844</v>
      </c>
      <c r="AH143" s="204">
        <f t="shared" ca="1" si="25"/>
        <v>3.6512084317297044</v>
      </c>
      <c r="AI143" s="259"/>
    </row>
    <row r="144" spans="3:35" x14ac:dyDescent="0.2">
      <c r="C144" s="308"/>
      <c r="K144" s="266" t="s">
        <v>217</v>
      </c>
      <c r="L144" s="266" t="s">
        <v>2</v>
      </c>
      <c r="M144" s="320">
        <f>rF1.WallHeight</f>
        <v>2.5</v>
      </c>
      <c r="N144" s="320">
        <f>rF1.WallHeight</f>
        <v>2.645</v>
      </c>
      <c r="O144" s="320">
        <f>rF1.WallHeight</f>
        <v>3</v>
      </c>
      <c r="P144" s="309"/>
      <c r="Q144" s="309"/>
      <c r="S144" s="155"/>
      <c r="T144" s="238">
        <v>0.43</v>
      </c>
      <c r="U144" s="209">
        <f t="shared" ca="1" si="14"/>
        <v>135.96599999999998</v>
      </c>
      <c r="V144" s="118">
        <f t="shared" ca="1" si="18"/>
        <v>7.3560000000000014E-2</v>
      </c>
      <c r="W144" s="204">
        <f t="shared" ca="1" si="19"/>
        <v>10.00165896</v>
      </c>
      <c r="Y144" s="209">
        <f t="shared" ca="1" si="15"/>
        <v>135.96599999999998</v>
      </c>
      <c r="Z144" s="118">
        <f t="shared" ca="1" si="20"/>
        <v>7.3560000000000014E-2</v>
      </c>
      <c r="AA144" s="204">
        <f t="shared" ca="1" si="21"/>
        <v>10.00165896</v>
      </c>
      <c r="AC144" s="209">
        <f t="shared" ca="1" si="22"/>
        <v>3.7624999999999999E-2</v>
      </c>
      <c r="AD144" s="118">
        <f t="shared" ca="1" si="23"/>
        <v>0</v>
      </c>
      <c r="AE144" s="118">
        <f t="shared" ca="1" si="24"/>
        <v>3.7624999999999999E-2</v>
      </c>
      <c r="AF144" s="118">
        <f t="shared" ca="1" si="16"/>
        <v>0.37642260492700497</v>
      </c>
      <c r="AG144" s="118">
        <f t="shared" ca="1" si="17"/>
        <v>96.43215205386953</v>
      </c>
      <c r="AH144" s="204">
        <f t="shared" ca="1" si="25"/>
        <v>3.6282597210268408</v>
      </c>
      <c r="AI144" s="259"/>
    </row>
    <row r="145" spans="3:35" x14ac:dyDescent="0.2">
      <c r="C145" s="308"/>
      <c r="G145" s="145">
        <f ca="1">rF1.WallLenght02/rF1.WallThickness02</f>
        <v>17.142857142857142</v>
      </c>
      <c r="K145" s="146" t="s">
        <v>218</v>
      </c>
      <c r="L145" s="146" t="s">
        <v>85</v>
      </c>
      <c r="M145" s="318">
        <f>rF1.WallLenght</f>
        <v>3.2</v>
      </c>
      <c r="N145" s="318">
        <f>rF1.WallLenght</f>
        <v>3</v>
      </c>
      <c r="O145" s="318">
        <f>rF1.WallLenght</f>
        <v>3</v>
      </c>
      <c r="P145" s="319"/>
      <c r="Q145" s="319"/>
      <c r="R145" s="403"/>
      <c r="S145" s="155"/>
      <c r="T145" s="238">
        <v>0.44</v>
      </c>
      <c r="U145" s="209">
        <f t="shared" ca="1" si="14"/>
        <v>139.12799999999999</v>
      </c>
      <c r="V145" s="118">
        <f t="shared" ca="1" si="18"/>
        <v>7.2480000000000003E-2</v>
      </c>
      <c r="W145" s="204">
        <f t="shared" ca="1" si="19"/>
        <v>10.083997439999999</v>
      </c>
      <c r="Y145" s="209">
        <f t="shared" ca="1" si="15"/>
        <v>139.12799999999999</v>
      </c>
      <c r="Z145" s="118">
        <f t="shared" ca="1" si="20"/>
        <v>7.2480000000000003E-2</v>
      </c>
      <c r="AA145" s="204">
        <f t="shared" ca="1" si="21"/>
        <v>10.083997439999999</v>
      </c>
      <c r="AC145" s="209">
        <f t="shared" ca="1" si="22"/>
        <v>3.85E-2</v>
      </c>
      <c r="AD145" s="118">
        <f t="shared" ca="1" si="23"/>
        <v>0</v>
      </c>
      <c r="AE145" s="118">
        <f t="shared" ca="1" si="24"/>
        <v>3.85E-2</v>
      </c>
      <c r="AF145" s="118">
        <f t="shared" ca="1" si="16"/>
        <v>0.36502260492700489</v>
      </c>
      <c r="AG145" s="118">
        <f t="shared" ca="1" si="17"/>
        <v>93.511693720536172</v>
      </c>
      <c r="AH145" s="204">
        <f t="shared" ca="1" si="25"/>
        <v>3.6002002082406426</v>
      </c>
      <c r="AI145" s="259"/>
    </row>
    <row r="146" spans="3:35" x14ac:dyDescent="0.2">
      <c r="C146" s="308"/>
      <c r="K146" s="266" t="s">
        <v>276</v>
      </c>
      <c r="L146" s="266" t="s">
        <v>114</v>
      </c>
      <c r="M146" s="321"/>
      <c r="N146" s="322">
        <f ca="1">rF1.WallThickness*rF1.WallLenght</f>
        <v>0.52499999999999991</v>
      </c>
      <c r="O146" s="321"/>
      <c r="P146" s="309"/>
      <c r="Q146" s="309"/>
      <c r="R146" s="403"/>
      <c r="S146" s="155"/>
      <c r="T146" s="238">
        <v>0.45</v>
      </c>
      <c r="U146" s="209">
        <f t="shared" ca="1" si="14"/>
        <v>142.29</v>
      </c>
      <c r="V146" s="118">
        <f t="shared" ca="1" si="18"/>
        <v>7.1399999999999991E-2</v>
      </c>
      <c r="W146" s="204">
        <f t="shared" ca="1" si="19"/>
        <v>10.159505999999999</v>
      </c>
      <c r="Y146" s="209">
        <f t="shared" ca="1" si="15"/>
        <v>142.29</v>
      </c>
      <c r="Z146" s="118">
        <f t="shared" ca="1" si="20"/>
        <v>7.1399999999999991E-2</v>
      </c>
      <c r="AA146" s="204">
        <f t="shared" ca="1" si="21"/>
        <v>10.159505999999999</v>
      </c>
      <c r="AC146" s="209">
        <f t="shared" ca="1" si="22"/>
        <v>3.9375E-2</v>
      </c>
      <c r="AD146" s="118">
        <f t="shared" ca="1" si="23"/>
        <v>0</v>
      </c>
      <c r="AE146" s="118">
        <f t="shared" ca="1" si="24"/>
        <v>3.9375E-2</v>
      </c>
      <c r="AF146" s="118">
        <f t="shared" ca="1" si="16"/>
        <v>0.35362260492700492</v>
      </c>
      <c r="AG146" s="118">
        <f t="shared" ca="1" si="17"/>
        <v>90.591235387202858</v>
      </c>
      <c r="AH146" s="204">
        <f t="shared" ca="1" si="25"/>
        <v>3.5670298933711124</v>
      </c>
      <c r="AI146" s="259"/>
    </row>
    <row r="147" spans="3:35" x14ac:dyDescent="0.2">
      <c r="C147" s="308">
        <v>1</v>
      </c>
      <c r="G147" s="145">
        <f ca="1">IF(OR(AND(rF1.FixedVergesNumber=1,rF1.RatioLengthThick02&gt;rP1.MaximumLengthOneFixed),AND(rF1.FixedVergesNumber=2,rF1.RatioLengthThick02&gt;rP1.MaximumLengthTwoFixed)),0,rF1.FixedVergesNumber)</f>
        <v>0</v>
      </c>
      <c r="K147" s="146" t="s">
        <v>220</v>
      </c>
      <c r="L147" s="146"/>
      <c r="M147" s="310"/>
      <c r="N147" s="310">
        <f ca="1">OFFSET(rL1.FixedVergesHead,rF1.FixedVergesSelection02,rF1.ColumnPlacementFactor,1,1)</f>
        <v>1</v>
      </c>
      <c r="O147" s="411" t="str">
        <f ca="1">IF(rF1.FixedVergesNumber&lt;&gt;rF1.FixedVergesNumberSelection,IF(rF1.FixedVergesNumber=1,rP2.OutputOneFixedVergeNP,IF(rF1.FixedVergesNumber=2,rP2.OutputTwoFixedVergesNP,"")),"")</f>
        <v>Wandlänge &gt; 15 · t → Gehaltener Rand nicht berücksichtigt!</v>
      </c>
      <c r="P147" s="319"/>
      <c r="Q147" s="319"/>
      <c r="R147" s="403"/>
      <c r="S147" s="155"/>
      <c r="T147" s="238">
        <v>0.46</v>
      </c>
      <c r="U147" s="209">
        <f t="shared" ca="1" si="14"/>
        <v>145.452</v>
      </c>
      <c r="V147" s="118">
        <f t="shared" ca="1" si="18"/>
        <v>7.0319999999999994E-2</v>
      </c>
      <c r="W147" s="204">
        <f t="shared" ca="1" si="19"/>
        <v>10.228184639999998</v>
      </c>
      <c r="Y147" s="209">
        <f t="shared" ca="1" si="15"/>
        <v>145.452</v>
      </c>
      <c r="Z147" s="118">
        <f t="shared" ca="1" si="20"/>
        <v>7.0319999999999994E-2</v>
      </c>
      <c r="AA147" s="204">
        <f t="shared" ca="1" si="21"/>
        <v>10.228184639999998</v>
      </c>
      <c r="AC147" s="209">
        <f t="shared" ca="1" si="22"/>
        <v>4.0250000000000001E-2</v>
      </c>
      <c r="AD147" s="118">
        <f t="shared" ca="1" si="23"/>
        <v>0</v>
      </c>
      <c r="AE147" s="118">
        <f t="shared" ca="1" si="24"/>
        <v>4.0250000000000001E-2</v>
      </c>
      <c r="AF147" s="118">
        <f t="shared" ca="1" si="16"/>
        <v>0.34222260492700496</v>
      </c>
      <c r="AG147" s="118">
        <f t="shared" ca="1" si="17"/>
        <v>87.670777053869514</v>
      </c>
      <c r="AH147" s="204">
        <f t="shared" ca="1" si="25"/>
        <v>3.5287487764182481</v>
      </c>
      <c r="AI147" s="259"/>
    </row>
    <row r="148" spans="3:35" ht="15.75" x14ac:dyDescent="0.2">
      <c r="C148" s="308">
        <v>5</v>
      </c>
      <c r="K148" s="266" t="s">
        <v>393</v>
      </c>
      <c r="L148" s="266" t="s">
        <v>394</v>
      </c>
      <c r="M148" s="323"/>
      <c r="N148" s="324">
        <f ca="1">OFFSET(INDIRECT(rF1.BrickListNumber),MIN(rF1.BrickProductSelection*1,COUNTA(rF1.BrickList02)),rF1.ColumnPlacementFactor,1,1)</f>
        <v>249</v>
      </c>
      <c r="O148" s="323"/>
      <c r="P148" s="309"/>
      <c r="Q148" s="309"/>
      <c r="R148" s="403"/>
      <c r="S148" s="155"/>
      <c r="T148" s="238">
        <v>0.47</v>
      </c>
      <c r="U148" s="209">
        <f t="shared" ca="1" si="14"/>
        <v>148.61399999999998</v>
      </c>
      <c r="V148" s="118">
        <f t="shared" ca="1" si="18"/>
        <v>6.924000000000001E-2</v>
      </c>
      <c r="W148" s="204">
        <f t="shared" ca="1" si="19"/>
        <v>10.290033360000001</v>
      </c>
      <c r="Y148" s="209">
        <f t="shared" ca="1" si="15"/>
        <v>148.61399999999998</v>
      </c>
      <c r="Z148" s="118">
        <f t="shared" ca="1" si="20"/>
        <v>6.924000000000001E-2</v>
      </c>
      <c r="AA148" s="204">
        <f t="shared" ca="1" si="21"/>
        <v>10.290033360000001</v>
      </c>
      <c r="AC148" s="209">
        <f t="shared" ca="1" si="22"/>
        <v>4.1124999999999995E-2</v>
      </c>
      <c r="AD148" s="118">
        <f t="shared" ca="1" si="23"/>
        <v>0</v>
      </c>
      <c r="AE148" s="118">
        <f t="shared" ca="1" si="24"/>
        <v>4.1124999999999995E-2</v>
      </c>
      <c r="AF148" s="118">
        <f t="shared" ca="1" si="16"/>
        <v>0.33082260492700488</v>
      </c>
      <c r="AG148" s="118">
        <f t="shared" ca="1" si="17"/>
        <v>84.750318720536171</v>
      </c>
      <c r="AH148" s="204">
        <f t="shared" ca="1" si="25"/>
        <v>3.4853568573820497</v>
      </c>
      <c r="AI148" s="259"/>
    </row>
    <row r="149" spans="3:35" ht="15.75" x14ac:dyDescent="0.2">
      <c r="C149" s="308">
        <v>4</v>
      </c>
      <c r="K149" s="146"/>
      <c r="L149" s="146" t="s">
        <v>395</v>
      </c>
      <c r="M149" s="310"/>
      <c r="N149" s="325">
        <f ca="1">OFFSET(INDIRECT(rF1.BrickListNumber),MIN(rF1.BrickProductSelection*1,COUNTA(rF1.BrickList02)),rF1.ColumnPlacementFactor,1,1)</f>
        <v>498</v>
      </c>
      <c r="O149" s="310"/>
      <c r="P149" s="319"/>
      <c r="Q149" s="319"/>
      <c r="R149" s="403"/>
      <c r="S149" s="155"/>
      <c r="T149" s="238">
        <v>0.48</v>
      </c>
      <c r="U149" s="209">
        <f t="shared" ca="1" si="14"/>
        <v>151.77599999999998</v>
      </c>
      <c r="V149" s="118">
        <f t="shared" ca="1" si="18"/>
        <v>6.8159999999999998E-2</v>
      </c>
      <c r="W149" s="204">
        <f t="shared" ca="1" si="19"/>
        <v>10.345052159999998</v>
      </c>
      <c r="Y149" s="209">
        <f t="shared" ca="1" si="15"/>
        <v>151.77599999999998</v>
      </c>
      <c r="Z149" s="118">
        <f t="shared" ca="1" si="20"/>
        <v>6.8159999999999998E-2</v>
      </c>
      <c r="AA149" s="204">
        <f t="shared" ca="1" si="21"/>
        <v>10.345052159999998</v>
      </c>
      <c r="AC149" s="209">
        <f t="shared" ca="1" si="22"/>
        <v>4.1999999999999996E-2</v>
      </c>
      <c r="AD149" s="118">
        <f t="shared" ca="1" si="23"/>
        <v>0</v>
      </c>
      <c r="AE149" s="118">
        <f t="shared" ca="1" si="24"/>
        <v>4.1999999999999996E-2</v>
      </c>
      <c r="AF149" s="118">
        <f t="shared" ca="1" si="16"/>
        <v>0.31942260492700492</v>
      </c>
      <c r="AG149" s="118">
        <f t="shared" ca="1" si="17"/>
        <v>81.829860387202842</v>
      </c>
      <c r="AH149" s="204">
        <f t="shared" ca="1" si="25"/>
        <v>3.4368541362625189</v>
      </c>
      <c r="AI149" s="259"/>
    </row>
    <row r="150" spans="3:35" ht="15.75" x14ac:dyDescent="0.2">
      <c r="C150" s="308"/>
      <c r="G150" s="145">
        <f ca="1">ABS(((rF1.WallThickness02-rF1.BearingDepthTop02)/2+rF1.EccentricityShiftC5Top+rF1.EccentricitySlabTop+rF1.EccentricityWindTop)/rF1.WallThickness02)</f>
        <v>0.16909309113394388</v>
      </c>
      <c r="K150" s="266"/>
      <c r="L150" s="266" t="s">
        <v>465</v>
      </c>
      <c r="M150" s="323"/>
      <c r="N150" s="317">
        <f ca="1">rF1.BrickHeight02/rF1.BrickLength02</f>
        <v>0.5</v>
      </c>
      <c r="O150" s="323"/>
      <c r="P150" s="309"/>
      <c r="Q150" s="309"/>
      <c r="R150" s="403"/>
      <c r="S150" s="155"/>
      <c r="T150" s="238">
        <v>0.49</v>
      </c>
      <c r="U150" s="209">
        <f t="shared" ca="1" si="14"/>
        <v>154.93799999999999</v>
      </c>
      <c r="V150" s="118">
        <f t="shared" ca="1" si="18"/>
        <v>6.7080000000000001E-2</v>
      </c>
      <c r="W150" s="204">
        <f t="shared" ca="1" si="19"/>
        <v>10.393241039999999</v>
      </c>
      <c r="Y150" s="209">
        <f t="shared" ca="1" si="15"/>
        <v>154.93799999999999</v>
      </c>
      <c r="Z150" s="118">
        <f t="shared" ca="1" si="20"/>
        <v>6.7080000000000001E-2</v>
      </c>
      <c r="AA150" s="204">
        <f t="shared" ca="1" si="21"/>
        <v>10.393241039999999</v>
      </c>
      <c r="AC150" s="209">
        <f t="shared" ca="1" si="22"/>
        <v>4.2874999999999996E-2</v>
      </c>
      <c r="AD150" s="118">
        <f t="shared" ca="1" si="23"/>
        <v>0</v>
      </c>
      <c r="AE150" s="118">
        <f t="shared" ca="1" si="24"/>
        <v>4.2874999999999996E-2</v>
      </c>
      <c r="AF150" s="118">
        <f t="shared" ca="1" si="16"/>
        <v>0.30802260492700484</v>
      </c>
      <c r="AG150" s="118">
        <f t="shared" ca="1" si="17"/>
        <v>78.909402053869499</v>
      </c>
      <c r="AH150" s="204">
        <f t="shared" ca="1" si="25"/>
        <v>3.3832406130596544</v>
      </c>
      <c r="AI150" s="259"/>
    </row>
    <row r="151" spans="3:35" ht="15.75" x14ac:dyDescent="0.2">
      <c r="C151" s="308">
        <v>2</v>
      </c>
      <c r="E151" s="145">
        <f ca="1">INDEX(rL5.EccentricityFactor,MATCH(rF1.EccentricityFactor,rL5.EccentricityFactor,1))</f>
        <v>0.16666666666666666</v>
      </c>
      <c r="F151" s="145">
        <f ca="1">INDEX(rL5.EccentricityFactor,MATCH(rF1.EccentricityFactor,rL5.EccentricityFactor,1)+1)</f>
        <v>0.33333333333333331</v>
      </c>
      <c r="G151" s="145">
        <f ca="1">MAX(INDEX(rL5.Rho_2,MATCH(rF1.EccentricityFactor,rL5.EccentricityFactor,1)),OFFSET(rL1.Wall01Head,rF1.WallBearingTopSelection02,rF1.ColumnPlacementFactor,1,1),OFFSET(rL1.Wall01Head,rF1.WallBearingBottomSelection02,rF1.ColumnPlacementFactor,1,1))</f>
        <v>0.75</v>
      </c>
      <c r="H151" s="145">
        <f ca="1">MAX(INDEX(rL5.Rho_2,MATCH(rF1.EccentricityFactor,rL5.EccentricityFactor,1)+1),OFFSET(rL1.Wall01Head,rF1.WallBearingTopSelection02,rF1.ColumnPlacementFactor,1,1),OFFSET(rL1.Wall01Head,rF1.WallBearingBottomSelection02,rF1.ColumnPlacementFactor,1,1))</f>
        <v>1</v>
      </c>
      <c r="K151" s="146" t="s">
        <v>277</v>
      </c>
      <c r="L151" s="146" t="s">
        <v>84</v>
      </c>
      <c r="M151" s="315"/>
      <c r="N151" s="326">
        <f ca="1">IF(OR(rF1.CheckWoodenSlab01,rF1.CheckWoodenSlab02),1,IF(OR(AND(rF1.WallThickness02&gt;=rP1.BucklingThickness,rF1.BearingDepthTopRelated&gt;=2/3),AND(rF1.WallThickness02&lt;rP1.BucklingThickness,rF1.BearingDepthTop02&gt;=rP1.BucklingBearingDepth)),IF(OR(rF1.FixedVergesNumberSelection=1,rF1.FixedVergesNumberSelection=2),MAX(OFFSET(rL1.Wall01Head,rF1.WallBearingTopSelection02,rF1.ColumnPlacementFactor,1,1),OFFSET(rL1.Wall01Head,rF1.WallBearingBottomSelection02,rF1.ColumnPlacementFactor,1,1)),rF1.BucklingInterpolY1+(rF1.BucklingInterpolY2-rF1.BucklingInterpolY1)/(rF1.BucklingInterpolX2-rF1.BucklingInterpolX1)*(rF1.EccentricityFactor-rF1.BucklingInterpolX1)),1))</f>
        <v>0.75363963670091583</v>
      </c>
      <c r="O151" s="326"/>
      <c r="P151" s="218" t="str">
        <f ca="1">IF(AND(rF1.CheckWoodenSlab02=1,rF1.WallThickness02-rF1.DistanceTop02&lt;0.085),rP2.OutputBearingWoodenSlab01,IF(AND(rF1.CheckWoodenSlab02=1,rF1.DistanceTop02/rF1.WallThickness02&gt;1/3),rP2.OutputBearingWoodenSlab02,""))</f>
        <v/>
      </c>
      <c r="Q151" s="319"/>
      <c r="R151" s="403"/>
      <c r="S151" s="155"/>
      <c r="T151" s="238">
        <v>0.5</v>
      </c>
      <c r="U151" s="209">
        <f t="shared" ca="1" si="14"/>
        <v>158.1</v>
      </c>
      <c r="V151" s="118">
        <f t="shared" ca="1" si="18"/>
        <v>6.6000000000000003E-2</v>
      </c>
      <c r="W151" s="204">
        <f t="shared" ca="1" si="19"/>
        <v>10.4346</v>
      </c>
      <c r="Y151" s="209">
        <f t="shared" ca="1" si="15"/>
        <v>158.1</v>
      </c>
      <c r="Z151" s="118">
        <f t="shared" ca="1" si="20"/>
        <v>6.6000000000000003E-2</v>
      </c>
      <c r="AA151" s="204">
        <f t="shared" ca="1" si="21"/>
        <v>10.4346</v>
      </c>
      <c r="AC151" s="209">
        <f t="shared" ca="1" si="22"/>
        <v>4.3749999999999997E-2</v>
      </c>
      <c r="AD151" s="118">
        <f t="shared" ca="1" si="23"/>
        <v>0</v>
      </c>
      <c r="AE151" s="118">
        <f t="shared" ca="1" si="24"/>
        <v>4.3749999999999997E-2</v>
      </c>
      <c r="AF151" s="118">
        <f t="shared" ca="1" si="16"/>
        <v>0.29662260492700487</v>
      </c>
      <c r="AG151" s="118">
        <f t="shared" ca="1" si="17"/>
        <v>75.98894372053617</v>
      </c>
      <c r="AH151" s="204">
        <f t="shared" ca="1" si="25"/>
        <v>3.3245162877734571</v>
      </c>
      <c r="AI151" s="259"/>
    </row>
    <row r="152" spans="3:35" ht="15.75" x14ac:dyDescent="0.2">
      <c r="C152" s="308"/>
      <c r="E152" s="145">
        <f ca="1">OFFSET(INDIRECT(OFFSET(rL5.OverlappingHead,rF1.OverlappingSelection,1,1,1)),0,MATCH(rF1.BrickHeightLenght,OFFSET(INDIRECT(OFFSET(rL5.OverlappingHead,rF1.OverlappingSelection,1,1,1)),0,1,1,4),1),1,1)</f>
        <v>0</v>
      </c>
      <c r="F152" s="145">
        <f ca="1">OFFSET(INDIRECT(OFFSET(rL5.OverlappingHead,rF1.OverlappingSelection,1,1,1)),0,MATCH(rF1.BrickHeightLenght,OFFSET(INDIRECT(OFFSET(rL5.OverlappingHead,rF1.OverlappingSelection,1,1,1)),0,1,1,4),1)+1,1,1)</f>
        <v>10</v>
      </c>
      <c r="G152" s="145">
        <f ca="1">OFFSET(INDIRECT(OFFSET(rL5.OverlappingHead,rF1.OverlappingSelection,1,1,1)),1,MATCH(rF1.BrickHeightLenght,OFFSET(INDIRECT(OFFSET(rL5.OverlappingHead,rF1.OverlappingSelection,1,1,1)),0,1,1,4),1),1,1)</f>
        <v>1</v>
      </c>
      <c r="H152" s="145">
        <f ca="1">OFFSET(INDIRECT(OFFSET(rL5.OverlappingHead,rF1.OverlappingSelection,1,1,1)),1,MATCH(rF1.BrickHeightLenght,OFFSET(INDIRECT(OFFSET(rL5.OverlappingHead,rF1.OverlappingSelection,1,1,1)),0,1,1,4),1)+1,1,1)</f>
        <v>1</v>
      </c>
      <c r="K152" s="266"/>
      <c r="L152" s="266" t="s">
        <v>124</v>
      </c>
      <c r="M152" s="317"/>
      <c r="N152" s="327" t="str">
        <f ca="1">IF(OR(rF1.CheckWoodenSlab01,rF1.CheckWoodenSlab02),"-",IF(rF1.FixedVergesNumberSelection=1,MAX(rF1.ReductionWallHeight02/(1+(rF1.BucklingCoeffAlpha03*rF1.ReductionWallHeight02*rF1.WallHeight/(3*rF1.WallLenght))^2),rP1.MinRho3),"-"))</f>
        <v>-</v>
      </c>
      <c r="O152" s="328" t="str">
        <f ca="1">IF(OR(rF1.CheckWoodenSlab01,rF1.CheckWoodenSlab02)," ",IF(rF1.FixedVergesNumberSelection=1,rF1.BucklingInterpolY1+(rF1.BucklingInterpolY2-rF1.BucklingInterpolY1)/(rF1.BucklingInterpolX2-rF1.BucklingInterpolX1)*(rF1.BrickHeightLenght-rF1.BucklingInterpolX1)," "))</f>
        <v xml:space="preserve"> </v>
      </c>
      <c r="P152" s="309"/>
      <c r="Q152" s="309"/>
      <c r="R152" s="403"/>
      <c r="S152" s="155"/>
      <c r="T152" s="238">
        <v>0.51</v>
      </c>
      <c r="U152" s="209">
        <f t="shared" ca="1" si="14"/>
        <v>161.262</v>
      </c>
      <c r="V152" s="118">
        <f t="shared" ca="1" si="18"/>
        <v>6.4920000000000005E-2</v>
      </c>
      <c r="W152" s="204">
        <f t="shared" ca="1" si="19"/>
        <v>10.46912904</v>
      </c>
      <c r="Y152" s="209">
        <f t="shared" ca="1" si="15"/>
        <v>161.262</v>
      </c>
      <c r="Z152" s="118">
        <f t="shared" ca="1" si="20"/>
        <v>6.4920000000000005E-2</v>
      </c>
      <c r="AA152" s="204">
        <f t="shared" ca="1" si="21"/>
        <v>10.46912904</v>
      </c>
      <c r="AC152" s="209">
        <f t="shared" ca="1" si="22"/>
        <v>4.4624999999999998E-2</v>
      </c>
      <c r="AD152" s="118">
        <f t="shared" ca="1" si="23"/>
        <v>0</v>
      </c>
      <c r="AE152" s="118">
        <f t="shared" ca="1" si="24"/>
        <v>4.4624999999999998E-2</v>
      </c>
      <c r="AF152" s="118">
        <f t="shared" ca="1" si="16"/>
        <v>0.28522260492700491</v>
      </c>
      <c r="AG152" s="118">
        <f t="shared" ca="1" si="17"/>
        <v>73.068485387202855</v>
      </c>
      <c r="AH152" s="204">
        <f t="shared" ca="1" si="25"/>
        <v>3.2606811604039274</v>
      </c>
      <c r="AI152" s="259"/>
    </row>
    <row r="153" spans="3:35" ht="15.75" x14ac:dyDescent="0.2">
      <c r="C153" s="308"/>
      <c r="E153" s="145">
        <f ca="1">OFFSET(INDIRECT(OFFSET(rL5.OverlappingHead,rF1.OverlappingSelection,1,1,1)),0,MATCH(rF1.BrickHeightLenght,OFFSET(INDIRECT(OFFSET(rL5.OverlappingHead,rF1.OverlappingSelection,1,1,1)),0,1,1,4),1),1,1)</f>
        <v>0</v>
      </c>
      <c r="F153" s="145">
        <f ca="1">OFFSET(INDIRECT(OFFSET(rL5.OverlappingHead,rF1.OverlappingSelection,1,1,1)),0,MATCH(rF1.BrickHeightLenght,OFFSET(INDIRECT(OFFSET(rL5.OverlappingHead,rF1.OverlappingSelection,1,1,1)),0,1,1,4),1)+1,1,1)</f>
        <v>10</v>
      </c>
      <c r="G153" s="145">
        <f ca="1">OFFSET(INDIRECT(OFFSET(rL5.OverlappingHead,rF1.OverlappingSelection,1,1,1)),2,MATCH(rF1.BrickHeightLenght,OFFSET(INDIRECT(OFFSET(rL5.OverlappingHead,rF1.OverlappingSelection,1,1,1)),0,1,1,4),1),1,1)</f>
        <v>1</v>
      </c>
      <c r="H153" s="145">
        <f ca="1">OFFSET(INDIRECT(OFFSET(rL5.OverlappingHead,rF1.OverlappingSelection,1,1,1)),2,MATCH(rF1.BrickHeightLenght,OFFSET(INDIRECT(OFFSET(rL5.OverlappingHead,rF1.OverlappingSelection,1,1,1)),0,1,1,4),1)+1,1,1)</f>
        <v>1</v>
      </c>
      <c r="K153" s="146"/>
      <c r="L153" s="146" t="s">
        <v>125</v>
      </c>
      <c r="M153" s="315"/>
      <c r="N153" s="326" t="str">
        <f ca="1">IF(OR(rF1.CheckWoodenSlab01,rF1.CheckWoodenSlab02),"-",IF(rF1.FixedVergesNumberSelection=2,IF(rF1.BucklingCoeffAlpha04*rF1.WallHeight/rF1.WallLenght&lt;=1,rF1.ReductionWallHeight02/(1+(rF1.BucklingCoeffAlpha04*rF1.ReductionWallHeight02*rF1.WallHeight/rF1.WallLenght)^2),0.5*rF1.WallLenght/rF1.WallHeight),"-"))</f>
        <v>-</v>
      </c>
      <c r="O153" s="329" t="str">
        <f ca="1">IF(OR(rF1.CheckWoodenSlab01,rF1.CheckWoodenSlab02)," ",IF(rF1.FixedVergesNumberSelection=2,rF1.BucklingInterpolY1+(rF1.BucklingInterpolY2-rF1.BucklingInterpolY1)/(rF1.BucklingInterpolX2-rF1.BucklingInterpolX1)*(rF1.BrickHeightLenght-rF1.BucklingInterpolX1)," "))</f>
        <v xml:space="preserve"> </v>
      </c>
      <c r="P153" s="319"/>
      <c r="Q153" s="319"/>
      <c r="R153" s="403"/>
      <c r="S153" s="155"/>
      <c r="T153" s="238">
        <v>0.52</v>
      </c>
      <c r="U153" s="209">
        <f t="shared" ca="1" si="14"/>
        <v>164.42400000000001</v>
      </c>
      <c r="V153" s="118">
        <f t="shared" ca="1" si="18"/>
        <v>6.3839999999999994E-2</v>
      </c>
      <c r="W153" s="204">
        <f t="shared" ca="1" si="19"/>
        <v>10.49682816</v>
      </c>
      <c r="Y153" s="209">
        <f t="shared" ca="1" si="15"/>
        <v>164.42400000000001</v>
      </c>
      <c r="Z153" s="118">
        <f t="shared" ca="1" si="20"/>
        <v>6.3839999999999994E-2</v>
      </c>
      <c r="AA153" s="204">
        <f t="shared" ca="1" si="21"/>
        <v>10.49682816</v>
      </c>
      <c r="AC153" s="209">
        <f t="shared" ca="1" si="22"/>
        <v>4.5499999999999999E-2</v>
      </c>
      <c r="AD153" s="118">
        <f t="shared" ca="1" si="23"/>
        <v>0</v>
      </c>
      <c r="AE153" s="118">
        <f t="shared" ca="1" si="24"/>
        <v>4.5499999999999999E-2</v>
      </c>
      <c r="AF153" s="118">
        <f t="shared" ca="1" si="16"/>
        <v>0.27382260492700483</v>
      </c>
      <c r="AG153" s="118">
        <f t="shared" ca="1" si="17"/>
        <v>70.148027053869512</v>
      </c>
      <c r="AH153" s="204">
        <f t="shared" ca="1" si="25"/>
        <v>3.1917352309510627</v>
      </c>
      <c r="AI153" s="259"/>
    </row>
    <row r="154" spans="3:35" ht="15.75" x14ac:dyDescent="0.2">
      <c r="C154" s="308"/>
      <c r="K154" s="266" t="s">
        <v>278</v>
      </c>
      <c r="L154" s="266" t="s">
        <v>71</v>
      </c>
      <c r="M154" s="330"/>
      <c r="N154" s="320">
        <f ca="1">rF1.WallHeight*MIN(rF1.ReductionWallHeight02,rF1.ReductionWallHeight03,rF1.ReductionWallHeight04)</f>
        <v>1.9933768390739224</v>
      </c>
      <c r="O154" s="330"/>
      <c r="P154" s="309"/>
      <c r="Q154" s="309"/>
      <c r="R154" s="403"/>
      <c r="S154" s="155"/>
      <c r="T154" s="238">
        <v>0.53</v>
      </c>
      <c r="U154" s="209">
        <f t="shared" ca="1" si="14"/>
        <v>167.58600000000001</v>
      </c>
      <c r="V154" s="118">
        <f t="shared" ca="1" si="18"/>
        <v>6.2759999999999996E-2</v>
      </c>
      <c r="W154" s="204">
        <f t="shared" ca="1" si="19"/>
        <v>10.51769736</v>
      </c>
      <c r="Y154" s="209">
        <f t="shared" ca="1" si="15"/>
        <v>167.58600000000001</v>
      </c>
      <c r="Z154" s="118">
        <f t="shared" ca="1" si="20"/>
        <v>6.2759999999999996E-2</v>
      </c>
      <c r="AA154" s="204">
        <f t="shared" ca="1" si="21"/>
        <v>10.51769736</v>
      </c>
      <c r="AC154" s="209">
        <f t="shared" ca="1" si="22"/>
        <v>4.6375E-2</v>
      </c>
      <c r="AD154" s="118">
        <f t="shared" ca="1" si="23"/>
        <v>0</v>
      </c>
      <c r="AE154" s="118">
        <f t="shared" ca="1" si="24"/>
        <v>4.6375E-2</v>
      </c>
      <c r="AF154" s="118">
        <f t="shared" ca="1" si="16"/>
        <v>0.26242260492700487</v>
      </c>
      <c r="AG154" s="118">
        <f t="shared" ca="1" si="17"/>
        <v>67.227568720536183</v>
      </c>
      <c r="AH154" s="204">
        <f t="shared" ca="1" si="25"/>
        <v>3.1176784994148656</v>
      </c>
      <c r="AI154" s="259"/>
    </row>
    <row r="155" spans="3:35" x14ac:dyDescent="0.2">
      <c r="C155" s="308"/>
      <c r="K155" s="183" t="s">
        <v>223</v>
      </c>
      <c r="L155" s="146"/>
      <c r="M155" s="318">
        <f ca="1">IF(OR(rF1.CheckFoundation,rF1.CheckBasePlate),0,rF1.WallThickness-rF1.BearingDepthTop)</f>
        <v>0</v>
      </c>
      <c r="N155" s="318">
        <f ca="1">rF1.WallThickness-rF1.BearingDepthTop02</f>
        <v>-6.5000000000000002E-2</v>
      </c>
      <c r="O155" s="318"/>
      <c r="P155" s="319"/>
      <c r="Q155" s="319"/>
      <c r="R155" s="403"/>
      <c r="S155" s="155"/>
      <c r="T155" s="238">
        <v>0.54</v>
      </c>
      <c r="U155" s="209">
        <f t="shared" ca="1" si="14"/>
        <v>170.74800000000002</v>
      </c>
      <c r="V155" s="118">
        <f t="shared" ca="1" si="18"/>
        <v>6.1679999999999999E-2</v>
      </c>
      <c r="W155" s="204">
        <f t="shared" ca="1" si="19"/>
        <v>10.53173664</v>
      </c>
      <c r="Y155" s="209">
        <f t="shared" ca="1" si="15"/>
        <v>170.74800000000002</v>
      </c>
      <c r="Z155" s="118">
        <f t="shared" ca="1" si="20"/>
        <v>6.1679999999999999E-2</v>
      </c>
      <c r="AA155" s="204">
        <f t="shared" ca="1" si="21"/>
        <v>10.53173664</v>
      </c>
      <c r="AC155" s="209">
        <f t="shared" ca="1" si="22"/>
        <v>4.725E-2</v>
      </c>
      <c r="AD155" s="118">
        <f t="shared" ca="1" si="23"/>
        <v>0</v>
      </c>
      <c r="AE155" s="118">
        <f t="shared" ca="1" si="24"/>
        <v>4.725E-2</v>
      </c>
      <c r="AF155" s="118">
        <f t="shared" ca="1" si="16"/>
        <v>0.25102260492700479</v>
      </c>
      <c r="AG155" s="118">
        <f t="shared" ca="1" si="17"/>
        <v>64.307110387202826</v>
      </c>
      <c r="AH155" s="204">
        <f t="shared" ca="1" si="25"/>
        <v>3.0385109657953335</v>
      </c>
      <c r="AI155" s="259"/>
    </row>
    <row r="156" spans="3:35" x14ac:dyDescent="0.2">
      <c r="C156" s="313"/>
      <c r="K156" s="331" t="s">
        <v>224</v>
      </c>
      <c r="L156" s="266"/>
      <c r="M156" s="320"/>
      <c r="N156" s="320">
        <f ca="1">rF1.WallThickness-rF1.BearingDepthBottom02</f>
        <v>-6.5000000000000002E-2</v>
      </c>
      <c r="O156" s="320">
        <f ca="1">IF(rF1.CheckWallNotExisting,0,rF1.WallThickness-rF1.BearingDepthBottom)</f>
        <v>-6.5000000000000002E-2</v>
      </c>
      <c r="P156" s="309"/>
      <c r="Q156" s="309"/>
      <c r="R156" s="403"/>
      <c r="S156" s="155"/>
      <c r="T156" s="238">
        <v>0.55000000000000004</v>
      </c>
      <c r="U156" s="209">
        <f t="shared" ca="1" si="14"/>
        <v>173.91</v>
      </c>
      <c r="V156" s="118">
        <f t="shared" ca="1" si="18"/>
        <v>6.0599999999999994E-2</v>
      </c>
      <c r="W156" s="204">
        <f t="shared" ca="1" si="19"/>
        <v>10.538945999999999</v>
      </c>
      <c r="Y156" s="209">
        <f t="shared" ca="1" si="15"/>
        <v>173.91</v>
      </c>
      <c r="Z156" s="118">
        <f t="shared" ca="1" si="20"/>
        <v>6.0599999999999994E-2</v>
      </c>
      <c r="AA156" s="204">
        <f t="shared" ca="1" si="21"/>
        <v>10.538945999999999</v>
      </c>
      <c r="AC156" s="209">
        <f t="shared" ca="1" si="22"/>
        <v>4.8125000000000001E-2</v>
      </c>
      <c r="AD156" s="118">
        <f t="shared" ca="1" si="23"/>
        <v>0</v>
      </c>
      <c r="AE156" s="118">
        <f t="shared" ca="1" si="24"/>
        <v>4.8125000000000001E-2</v>
      </c>
      <c r="AF156" s="118">
        <f t="shared" ca="1" si="16"/>
        <v>0.23962260492700482</v>
      </c>
      <c r="AG156" s="118">
        <f t="shared" ca="1" si="17"/>
        <v>61.386652053869483</v>
      </c>
      <c r="AH156" s="204">
        <f t="shared" ca="1" si="25"/>
        <v>2.9542326300924691</v>
      </c>
      <c r="AI156" s="259"/>
    </row>
    <row r="157" spans="3:35" ht="15.75" x14ac:dyDescent="0.2">
      <c r="C157" s="179"/>
      <c r="K157" s="146" t="s">
        <v>490</v>
      </c>
      <c r="L157" s="146" t="s">
        <v>358</v>
      </c>
      <c r="M157" s="318">
        <f>rF1.BearingDepthTop</f>
        <v>0.25</v>
      </c>
      <c r="N157" s="318">
        <f>rF1.BearingDepthTop</f>
        <v>0.24</v>
      </c>
      <c r="O157" s="318"/>
      <c r="P157" s="319"/>
      <c r="Q157" s="319"/>
      <c r="R157" s="403"/>
      <c r="S157" s="155"/>
      <c r="T157" s="238">
        <v>0.56000000000000005</v>
      </c>
      <c r="U157" s="209">
        <f t="shared" ca="1" si="14"/>
        <v>177.072</v>
      </c>
      <c r="V157" s="118">
        <f t="shared" ca="1" si="18"/>
        <v>5.9519999999999997E-2</v>
      </c>
      <c r="W157" s="204">
        <f t="shared" ca="1" si="19"/>
        <v>10.539325439999999</v>
      </c>
      <c r="Y157" s="209">
        <f t="shared" ca="1" si="15"/>
        <v>177.072</v>
      </c>
      <c r="Z157" s="118">
        <f t="shared" ca="1" si="20"/>
        <v>5.9519999999999997E-2</v>
      </c>
      <c r="AA157" s="204">
        <f t="shared" ca="1" si="21"/>
        <v>10.539325439999999</v>
      </c>
      <c r="AC157" s="209">
        <f t="shared" ca="1" si="22"/>
        <v>4.9000000000000002E-2</v>
      </c>
      <c r="AD157" s="118">
        <f t="shared" ca="1" si="23"/>
        <v>0</v>
      </c>
      <c r="AE157" s="118">
        <f t="shared" ca="1" si="24"/>
        <v>4.9000000000000002E-2</v>
      </c>
      <c r="AF157" s="118">
        <f t="shared" ca="1" si="16"/>
        <v>0.22822260492700486</v>
      </c>
      <c r="AG157" s="118">
        <f t="shared" ca="1" si="17"/>
        <v>58.466193720536168</v>
      </c>
      <c r="AH157" s="204">
        <f t="shared" ca="1" si="25"/>
        <v>2.8648434923062722</v>
      </c>
      <c r="AI157" s="259"/>
    </row>
    <row r="158" spans="3:35" ht="15.75" x14ac:dyDescent="0.2">
      <c r="C158" s="179"/>
      <c r="K158" s="266" t="s">
        <v>491</v>
      </c>
      <c r="L158" s="266" t="s">
        <v>359</v>
      </c>
      <c r="M158" s="320"/>
      <c r="N158" s="320">
        <f>rF1.BearingDepthBottom</f>
        <v>0.24</v>
      </c>
      <c r="O158" s="320">
        <f>rF1.BearingDepthBottom</f>
        <v>0.24</v>
      </c>
      <c r="P158" s="309"/>
      <c r="Q158" s="309"/>
      <c r="R158" s="403"/>
      <c r="S158" s="155"/>
      <c r="T158" s="238">
        <v>0.56999999999999995</v>
      </c>
      <c r="U158" s="209">
        <f t="shared" ca="1" si="14"/>
        <v>180.23399999999998</v>
      </c>
      <c r="V158" s="118">
        <f t="shared" ca="1" si="18"/>
        <v>5.8439999999999999E-2</v>
      </c>
      <c r="W158" s="204">
        <f t="shared" ca="1" si="19"/>
        <v>10.532874959999999</v>
      </c>
      <c r="Y158" s="209">
        <f t="shared" ca="1" si="15"/>
        <v>180.23399999999998</v>
      </c>
      <c r="Z158" s="118">
        <f t="shared" ca="1" si="20"/>
        <v>5.8439999999999999E-2</v>
      </c>
      <c r="AA158" s="204">
        <f t="shared" ca="1" si="21"/>
        <v>10.532874959999999</v>
      </c>
      <c r="AC158" s="209">
        <f t="shared" ca="1" si="22"/>
        <v>4.9874999999999996E-2</v>
      </c>
      <c r="AD158" s="118">
        <f t="shared" ca="1" si="23"/>
        <v>0</v>
      </c>
      <c r="AE158" s="118">
        <f t="shared" ca="1" si="24"/>
        <v>4.9874999999999996E-2</v>
      </c>
      <c r="AF158" s="118">
        <f t="shared" ca="1" si="16"/>
        <v>0.21682260492700495</v>
      </c>
      <c r="AG158" s="118">
        <f t="shared" ca="1" si="17"/>
        <v>55.545735387202868</v>
      </c>
      <c r="AH158" s="204">
        <f t="shared" ca="1" si="25"/>
        <v>2.7703435524367426</v>
      </c>
      <c r="AI158" s="259"/>
    </row>
    <row r="159" spans="3:35" x14ac:dyDescent="0.2">
      <c r="K159" s="142" t="s">
        <v>279</v>
      </c>
      <c r="L159" s="142"/>
      <c r="M159" s="143"/>
      <c r="N159" s="143"/>
      <c r="O159" s="143"/>
      <c r="P159" s="143"/>
      <c r="Q159" s="192"/>
      <c r="R159" s="403"/>
      <c r="S159" s="155"/>
      <c r="T159" s="238">
        <v>0.57999999999999996</v>
      </c>
      <c r="U159" s="209">
        <f t="shared" ca="1" si="14"/>
        <v>183.39599999999999</v>
      </c>
      <c r="V159" s="118">
        <f t="shared" ca="1" si="18"/>
        <v>5.7359999999999994E-2</v>
      </c>
      <c r="W159" s="204">
        <f t="shared" ca="1" si="19"/>
        <v>10.519594559999998</v>
      </c>
      <c r="Y159" s="209">
        <f t="shared" ca="1" si="15"/>
        <v>183.39599999999999</v>
      </c>
      <c r="Z159" s="118">
        <f t="shared" ca="1" si="20"/>
        <v>5.7359999999999994E-2</v>
      </c>
      <c r="AA159" s="204">
        <f t="shared" ca="1" si="21"/>
        <v>10.519594559999998</v>
      </c>
      <c r="AC159" s="209">
        <f t="shared" ca="1" si="22"/>
        <v>5.0749999999999997E-2</v>
      </c>
      <c r="AD159" s="118">
        <f t="shared" ca="1" si="23"/>
        <v>0</v>
      </c>
      <c r="AE159" s="118">
        <f t="shared" ca="1" si="24"/>
        <v>5.0749999999999997E-2</v>
      </c>
      <c r="AF159" s="118">
        <f t="shared" ca="1" si="16"/>
        <v>0.20542260492700493</v>
      </c>
      <c r="AG159" s="118">
        <f t="shared" ca="1" si="17"/>
        <v>52.625277053869517</v>
      </c>
      <c r="AH159" s="204">
        <f t="shared" ca="1" si="25"/>
        <v>2.6707328104838779</v>
      </c>
      <c r="AI159" s="259"/>
    </row>
    <row r="160" spans="3:35" x14ac:dyDescent="0.2">
      <c r="C160" s="194">
        <v>13</v>
      </c>
      <c r="K160" s="146" t="s">
        <v>280</v>
      </c>
      <c r="L160" s="146" t="s">
        <v>128</v>
      </c>
      <c r="M160" s="332">
        <f ca="1">IF(OR(rF1.CheckConcreteWall,rF1.CheckFoundation=1),rP1.ConcreteWeight*rF1.WallThickness,OFFSET(INDIRECT(rF1.BrickListNumber),MIN(rF1.BrickProductSelection*1,COUNTA(rF1.BrickList01)),rF1.ColumnPlacementFactor,1,1))</f>
        <v>3750</v>
      </c>
      <c r="N160" s="332">
        <f ca="1">OFFSET(INDIRECT(rF1.BrickListNumber),MIN(rF1.BrickProductSelection*1,COUNTA(rF1.BrickList02)),rF1.ColumnPlacementFactor,1,1)</f>
        <v>225</v>
      </c>
      <c r="O160" s="332">
        <f ca="1">OFFSET(INDIRECT(rF1.BrickListNumber),MIN(rF1.BrickProductSelection*1,COUNTA(rF1.BrickList03)),rF1.ColumnPlacementFactor,1,1)</f>
        <v>225</v>
      </c>
      <c r="P160" s="319"/>
      <c r="Q160" s="319"/>
      <c r="R160" s="403"/>
      <c r="S160" s="155"/>
      <c r="T160" s="238">
        <v>0.59</v>
      </c>
      <c r="U160" s="209">
        <f t="shared" ca="1" si="14"/>
        <v>186.55799999999999</v>
      </c>
      <c r="V160" s="118">
        <f t="shared" ca="1" si="18"/>
        <v>5.6279999999999997E-2</v>
      </c>
      <c r="W160" s="204">
        <f t="shared" ca="1" si="19"/>
        <v>10.499484239999999</v>
      </c>
      <c r="Y160" s="209">
        <f t="shared" ca="1" si="15"/>
        <v>186.55799999999999</v>
      </c>
      <c r="Z160" s="118">
        <f t="shared" ca="1" si="20"/>
        <v>5.6279999999999997E-2</v>
      </c>
      <c r="AA160" s="204">
        <f t="shared" ca="1" si="21"/>
        <v>10.499484239999999</v>
      </c>
      <c r="AC160" s="209">
        <f t="shared" ca="1" si="22"/>
        <v>5.1624999999999997E-2</v>
      </c>
      <c r="AD160" s="118">
        <f t="shared" ca="1" si="23"/>
        <v>0</v>
      </c>
      <c r="AE160" s="118">
        <f t="shared" ca="1" si="24"/>
        <v>5.1624999999999997E-2</v>
      </c>
      <c r="AF160" s="118">
        <f t="shared" ca="1" si="16"/>
        <v>0.1940226049270049</v>
      </c>
      <c r="AG160" s="118">
        <f t="shared" ca="1" si="17"/>
        <v>49.704818720536174</v>
      </c>
      <c r="AH160" s="204">
        <f t="shared" ca="1" si="25"/>
        <v>2.56601126644768</v>
      </c>
      <c r="AI160" s="259"/>
    </row>
    <row r="161" spans="3:35" ht="15.75" x14ac:dyDescent="0.2">
      <c r="C161" s="308">
        <v>1</v>
      </c>
      <c r="K161" s="331" t="s">
        <v>504</v>
      </c>
      <c r="L161" s="266" t="s">
        <v>506</v>
      </c>
      <c r="M161" s="309"/>
      <c r="N161" s="309">
        <f ca="1">IF(OR(rF1.CheckBendingMomentSlabTop,rF1.CheckBendingMomentSlabBottom),rP1.StiffnessFactorHinged,OFFSET(rL1.Wall02Head,rF1.WallBearingTopSelection,rF1.ColumnPlacementFactor,1,1))</f>
        <v>4</v>
      </c>
      <c r="O161" s="309">
        <f ca="1">OFFSET(rL1.Wall03Head,rF1.WallBearingTopSelection,rF1.ColumnPlacementFactor,1,1)</f>
        <v>4</v>
      </c>
      <c r="P161" s="309"/>
      <c r="Q161" s="309"/>
      <c r="S161" s="155"/>
      <c r="T161" s="238">
        <v>0.6</v>
      </c>
      <c r="U161" s="209">
        <f t="shared" ca="1" si="14"/>
        <v>189.72</v>
      </c>
      <c r="V161" s="118">
        <f t="shared" ca="1" si="18"/>
        <v>5.5199999999999999E-2</v>
      </c>
      <c r="W161" s="204">
        <f t="shared" ca="1" si="19"/>
        <v>10.472543999999999</v>
      </c>
      <c r="Y161" s="209">
        <f t="shared" ca="1" si="15"/>
        <v>189.72</v>
      </c>
      <c r="Z161" s="118">
        <f t="shared" ca="1" si="20"/>
        <v>5.5199999999999999E-2</v>
      </c>
      <c r="AA161" s="204">
        <f t="shared" ca="1" si="21"/>
        <v>10.472543999999999</v>
      </c>
      <c r="AC161" s="209">
        <f t="shared" ca="1" si="22"/>
        <v>5.2499999999999998E-2</v>
      </c>
      <c r="AD161" s="118">
        <f t="shared" ca="1" si="23"/>
        <v>0</v>
      </c>
      <c r="AE161" s="118">
        <f t="shared" ca="1" si="24"/>
        <v>5.2499999999999998E-2</v>
      </c>
      <c r="AF161" s="118">
        <f t="shared" ca="1" si="16"/>
        <v>0.18262260492700488</v>
      </c>
      <c r="AG161" s="118">
        <f t="shared" ca="1" si="17"/>
        <v>46.784360387202845</v>
      </c>
      <c r="AH161" s="204">
        <f t="shared" ca="1" si="25"/>
        <v>2.4561789203281492</v>
      </c>
      <c r="AI161" s="259"/>
    </row>
    <row r="162" spans="3:35" ht="15.75" x14ac:dyDescent="0.2">
      <c r="C162" s="308">
        <v>1</v>
      </c>
      <c r="K162" s="183" t="s">
        <v>505</v>
      </c>
      <c r="L162" s="146" t="s">
        <v>507</v>
      </c>
      <c r="M162" s="319" t="str">
        <f ca="1">IF(rF1.CheckFoundation,"Inf.",OFFSET(rL1.Wall01Head,rF1.WallBearingBottomSelection,rF1.ColumnPlacementFactor,1,1))</f>
        <v>Inf.</v>
      </c>
      <c r="N162" s="319">
        <f ca="1">IF(rF1.CheckBendingMomentSlabBottom,rP1.StiffnessFactorHinged,OFFSET(rL1.Wall02Head,rF1.WallBearingBottomSelection,rF1.ColumnPlacementFactor,1,1))</f>
        <v>4</v>
      </c>
      <c r="O162" s="319"/>
      <c r="P162" s="319"/>
      <c r="Q162" s="319"/>
      <c r="R162" s="403"/>
      <c r="S162" s="155"/>
      <c r="T162" s="238">
        <v>0.61</v>
      </c>
      <c r="U162" s="209">
        <f t="shared" ca="1" si="14"/>
        <v>192.88199999999998</v>
      </c>
      <c r="V162" s="118">
        <f t="shared" ca="1" si="18"/>
        <v>5.4120000000000001E-2</v>
      </c>
      <c r="W162" s="204">
        <f t="shared" ca="1" si="19"/>
        <v>10.43877384</v>
      </c>
      <c r="Y162" s="209">
        <f t="shared" ca="1" si="15"/>
        <v>192.88199999999998</v>
      </c>
      <c r="Z162" s="118">
        <f t="shared" ca="1" si="20"/>
        <v>5.4120000000000001E-2</v>
      </c>
      <c r="AA162" s="204">
        <f t="shared" ca="1" si="21"/>
        <v>10.43877384</v>
      </c>
      <c r="AC162" s="209">
        <f t="shared" ca="1" si="22"/>
        <v>5.3374999999999999E-2</v>
      </c>
      <c r="AD162" s="118">
        <f t="shared" ca="1" si="23"/>
        <v>0</v>
      </c>
      <c r="AE162" s="118">
        <f t="shared" ca="1" si="24"/>
        <v>5.3374999999999999E-2</v>
      </c>
      <c r="AF162" s="118">
        <f t="shared" ca="1" si="16"/>
        <v>0.17122260492700492</v>
      </c>
      <c r="AG162" s="118">
        <f t="shared" ca="1" si="17"/>
        <v>43.863902053869523</v>
      </c>
      <c r="AH162" s="204">
        <f t="shared" ca="1" si="25"/>
        <v>2.3412357721252857</v>
      </c>
      <c r="AI162" s="259"/>
    </row>
    <row r="163" spans="3:35" ht="15.75" x14ac:dyDescent="0.2">
      <c r="C163" s="308"/>
      <c r="K163" s="266" t="s">
        <v>282</v>
      </c>
      <c r="L163" s="266" t="s">
        <v>360</v>
      </c>
      <c r="M163" s="333">
        <f>rF1.WallLenght*rF1.BearingDepthTop^3/12</f>
        <v>4.1666666666666666E-3</v>
      </c>
      <c r="N163" s="333">
        <f>rF1.WallLenght*((rF1.BearingDepthTop02+rF1.BearingDepthBottom02)/2)^3/12</f>
        <v>3.4559999999999994E-3</v>
      </c>
      <c r="O163" s="333"/>
      <c r="P163" s="309"/>
      <c r="Q163" s="309"/>
      <c r="R163" s="403"/>
      <c r="S163" s="155"/>
      <c r="T163" s="238">
        <v>0.62</v>
      </c>
      <c r="U163" s="209">
        <f t="shared" ca="1" si="14"/>
        <v>196.04399999999998</v>
      </c>
      <c r="V163" s="118">
        <f t="shared" ca="1" si="18"/>
        <v>5.3040000000000004E-2</v>
      </c>
      <c r="W163" s="204">
        <f t="shared" ca="1" si="19"/>
        <v>10.398173760000001</v>
      </c>
      <c r="Y163" s="209">
        <f t="shared" ca="1" si="15"/>
        <v>196.04399999999998</v>
      </c>
      <c r="Z163" s="118">
        <f t="shared" ca="1" si="20"/>
        <v>5.3040000000000004E-2</v>
      </c>
      <c r="AA163" s="204">
        <f t="shared" ca="1" si="21"/>
        <v>10.398173760000001</v>
      </c>
      <c r="AC163" s="209">
        <f t="shared" ca="1" si="22"/>
        <v>5.425E-2</v>
      </c>
      <c r="AD163" s="118">
        <f t="shared" ca="1" si="23"/>
        <v>0</v>
      </c>
      <c r="AE163" s="118">
        <f t="shared" ca="1" si="24"/>
        <v>5.425E-2</v>
      </c>
      <c r="AF163" s="118">
        <f t="shared" ca="1" si="16"/>
        <v>0.1598226049270049</v>
      </c>
      <c r="AG163" s="118">
        <f t="shared" ca="1" si="17"/>
        <v>40.94344372053618</v>
      </c>
      <c r="AH163" s="204">
        <f t="shared" ca="1" si="25"/>
        <v>2.221181821839088</v>
      </c>
      <c r="AI163" s="259"/>
    </row>
    <row r="164" spans="3:35" ht="15.75" x14ac:dyDescent="0.2">
      <c r="C164" s="308"/>
      <c r="K164" s="146" t="s">
        <v>283</v>
      </c>
      <c r="L164" s="146" t="s">
        <v>361</v>
      </c>
      <c r="M164" s="334"/>
      <c r="N164" s="334">
        <f>rF1.WallLenght*((rF1.BearingDepthTop02+rF1.BearingDepthBottom02)/2)^3/12</f>
        <v>3.4559999999999994E-3</v>
      </c>
      <c r="O164" s="334">
        <f>rF1.WallLenght*rF1.BearingDepthBottom^3/12</f>
        <v>3.4559999999999994E-3</v>
      </c>
      <c r="P164" s="319"/>
      <c r="Q164" s="319"/>
      <c r="R164" s="403"/>
      <c r="S164" s="155"/>
      <c r="T164" s="238">
        <v>0.63</v>
      </c>
      <c r="U164" s="209">
        <f t="shared" ref="U164:U195" ca="1" si="26">IF(rF1.CheckWoodenSlabCalc,0,rF1.PlotAxForceFactor*rF1.PlotAxResistanceMaxTop)</f>
        <v>199.20599999999999</v>
      </c>
      <c r="V164" s="118">
        <f t="shared" ca="1" si="18"/>
        <v>5.1960000000000006E-2</v>
      </c>
      <c r="W164" s="204">
        <f t="shared" ca="1" si="19"/>
        <v>10.35074376</v>
      </c>
      <c r="Y164" s="209">
        <f t="shared" ref="Y164:Y195" ca="1" si="27">IF(rF1.CheckWoodenSlabCalc,0,rF1.PlotAxForceFactor*rF1.PlotAxResistanceMaxBottom)</f>
        <v>199.20599999999999</v>
      </c>
      <c r="Z164" s="118">
        <f t="shared" ca="1" si="20"/>
        <v>5.1960000000000006E-2</v>
      </c>
      <c r="AA164" s="204">
        <f t="shared" ca="1" si="21"/>
        <v>10.35074376</v>
      </c>
      <c r="AC164" s="209">
        <f t="shared" ca="1" si="22"/>
        <v>5.5124999999999993E-2</v>
      </c>
      <c r="AD164" s="118">
        <f t="shared" ca="1" si="23"/>
        <v>0</v>
      </c>
      <c r="AE164" s="118">
        <f t="shared" ca="1" si="24"/>
        <v>5.5124999999999993E-2</v>
      </c>
      <c r="AF164" s="118">
        <f t="shared" ref="AF164:AF195" ca="1" si="28">MIN(1.14*(1-2*rF1.PlotExcentricityTotalMiddle/rF1.WallThickness02)-0.024*rF1.WallHeightEffective/rF1.WallThickness02,1-2*rF1.PlotExcentricityTotalMiddle/rF1.WallThickness02)</f>
        <v>0.14842260492700488</v>
      </c>
      <c r="AG164" s="118">
        <f t="shared" ref="AG164:AG195" ca="1" si="29">IF(rF1.CheckWoodenSlabCalc,0,rF1.PlotReductionParameterMiddle*rF1.WallThickness02*rF1.ReductionMasonryStrenghtArea02*rF1.ReductionMasonryStrengthLongTerm*rF1.MasonryStrenghtChar02/rF1.SafetyFactorMaterial02*1000)</f>
        <v>38.022985387202844</v>
      </c>
      <c r="AH164" s="204">
        <f t="shared" ca="1" si="25"/>
        <v>2.0960170694695566</v>
      </c>
      <c r="AI164" s="259"/>
    </row>
    <row r="165" spans="3:35" ht="15.75" x14ac:dyDescent="0.2">
      <c r="C165" s="308"/>
      <c r="K165" s="266" t="s">
        <v>284</v>
      </c>
      <c r="L165" s="266" t="s">
        <v>44</v>
      </c>
      <c r="M165" s="309" t="str">
        <f>IF(OR(rF1.CheckConcreteWall,rF1.CheckFoundation=1),"-",rP1.MasonryStiffnessFactor)</f>
        <v>-</v>
      </c>
      <c r="N165" s="309">
        <f>rP1.MasonryStiffnessFactor</f>
        <v>1100</v>
      </c>
      <c r="O165" s="309">
        <f>rP1.MasonryStiffnessFactor</f>
        <v>1100</v>
      </c>
      <c r="P165" s="309"/>
      <c r="Q165" s="309"/>
      <c r="R165" s="403"/>
      <c r="S165" s="155"/>
      <c r="T165" s="238">
        <v>0.64</v>
      </c>
      <c r="U165" s="209">
        <f t="shared" ca="1" si="26"/>
        <v>202.36799999999999</v>
      </c>
      <c r="V165" s="118">
        <f t="shared" ref="V165:V201" ca="1" si="30">rF1.PlotWallThicknessNettoTop/2-rF1.PlotAxForceTop*rF1.SafetyFactorMaterial02/(1000*2*rF1.MasonryStrenghtChar02*rF1.ReductionMasonryStrenghtArea02*rF1.ReductionMasonryStrengthLongTerm)</f>
        <v>5.0879999999999995E-2</v>
      </c>
      <c r="W165" s="204">
        <f t="shared" ref="W165:W196" ca="1" si="31">rF1.PlotAxForceTop*rF1.PlotExcentricityTop</f>
        <v>10.296483839999999</v>
      </c>
      <c r="Y165" s="209">
        <f t="shared" ca="1" si="27"/>
        <v>202.36799999999999</v>
      </c>
      <c r="Z165" s="118">
        <f t="shared" ref="Z165:Z201" ca="1" si="32">rF1.PlotWallThicknessNettoBottom/2-rF1.PlotAxForceBottom*rF1.SafetyFactorMaterial02/(1000*2*rF1.MasonryStrenghtChar02*rF1.ReductionMasonryStrenghtArea02*rF1.ReductionMasonryStrengthLongTerm)</f>
        <v>5.0879999999999995E-2</v>
      </c>
      <c r="AA165" s="204">
        <f t="shared" ref="AA165:AA196" ca="1" si="33">rF1.PlotAxForceBottom*rF1.PlotExcentricityBottom</f>
        <v>10.296483839999999</v>
      </c>
      <c r="AC165" s="209">
        <f t="shared" ref="AC165:AC201" ca="1" si="34">rF1.PlotAxForceFactor*rF1.PlotExcentricityLoadMax</f>
        <v>5.5999999999999994E-2</v>
      </c>
      <c r="AD165" s="118">
        <f t="shared" ref="AD165:AD196" ca="1" si="35">IF(rF1.WallSlenderness02&lt;=rP1.MaxSlendernessCreepEcc,0,0.002*rP1.CreepCoefficient*rF1.WallHeightBuckling/rF1.WallHeight02*SQRT(rF1.WallHeight02*rF1.PlotExcentricityLoadMiddle))</f>
        <v>0</v>
      </c>
      <c r="AE165" s="118">
        <f t="shared" ref="AE165:AE196" ca="1" si="36">MAX(rF1.PlotExcentricityCreepMiddle+rF1.PlotExcentricityLoadMiddle,0.05*rF1.WallThickness02)</f>
        <v>5.5999999999999994E-2</v>
      </c>
      <c r="AF165" s="118">
        <f t="shared" ca="1" si="28"/>
        <v>0.13702260492700485</v>
      </c>
      <c r="AG165" s="118">
        <f t="shared" ca="1" si="29"/>
        <v>35.102527053869508</v>
      </c>
      <c r="AH165" s="204">
        <f t="shared" ref="AH165:AH196" ca="1" si="37">rF1.PlotExcentricityTotalMiddle*rF1.PlotAxForceMiddle</f>
        <v>1.9657415150166924</v>
      </c>
      <c r="AI165" s="259"/>
    </row>
    <row r="166" spans="3:35" ht="15.75" x14ac:dyDescent="0.2">
      <c r="C166" s="308"/>
      <c r="K166" s="146" t="s">
        <v>285</v>
      </c>
      <c r="L166" s="335" t="s">
        <v>46</v>
      </c>
      <c r="M166" s="336"/>
      <c r="N166" s="336">
        <f>rP1.CreepCoefficient</f>
        <v>1</v>
      </c>
      <c r="O166" s="336"/>
      <c r="P166" s="319"/>
      <c r="Q166" s="319"/>
      <c r="R166" s="403"/>
      <c r="S166" s="155"/>
      <c r="T166" s="238">
        <v>0.65</v>
      </c>
      <c r="U166" s="209">
        <f t="shared" ca="1" si="26"/>
        <v>205.53</v>
      </c>
      <c r="V166" s="118">
        <f t="shared" ca="1" si="30"/>
        <v>4.9799999999999997E-2</v>
      </c>
      <c r="W166" s="204">
        <f t="shared" ca="1" si="31"/>
        <v>10.235393999999999</v>
      </c>
      <c r="Y166" s="209">
        <f t="shared" ca="1" si="27"/>
        <v>205.53</v>
      </c>
      <c r="Z166" s="118">
        <f t="shared" ca="1" si="32"/>
        <v>4.9799999999999997E-2</v>
      </c>
      <c r="AA166" s="204">
        <f t="shared" ca="1" si="33"/>
        <v>10.235393999999999</v>
      </c>
      <c r="AC166" s="209">
        <f t="shared" ca="1" si="34"/>
        <v>5.6874999999999995E-2</v>
      </c>
      <c r="AD166" s="118">
        <f t="shared" ca="1" si="35"/>
        <v>0</v>
      </c>
      <c r="AE166" s="118">
        <f t="shared" ca="1" si="36"/>
        <v>5.6874999999999995E-2</v>
      </c>
      <c r="AF166" s="118">
        <f t="shared" ca="1" si="28"/>
        <v>0.12562260492700489</v>
      </c>
      <c r="AG166" s="118">
        <f t="shared" ca="1" si="29"/>
        <v>32.182068720536179</v>
      </c>
      <c r="AH166" s="204">
        <f t="shared" ca="1" si="37"/>
        <v>1.8303551584804951</v>
      </c>
      <c r="AI166" s="259"/>
    </row>
    <row r="167" spans="3:35" x14ac:dyDescent="0.2">
      <c r="C167" s="308">
        <v>4</v>
      </c>
      <c r="K167" s="266" t="s">
        <v>286</v>
      </c>
      <c r="L167" s="266" t="s">
        <v>47</v>
      </c>
      <c r="M167" s="337" t="str">
        <f ca="1">IF(rF1.CheckFoundation,"Inf.",IF(rF1.CheckConcreteWall,OFFSET(rD3.Knoten,MIN(rF1.ConcreteFillSelection*1,COUNTA(rF1.ConcreteFillList01)),rF1.ColumnPlacementFactor,1,1),rF1.MasonryStrenghtChar*rF1.MasonryStiffnessFactor))</f>
        <v>Inf.</v>
      </c>
      <c r="N167" s="337">
        <f ca="1">rF1.MasonryStrenghtChar*rF1.MasonryStiffnessFactor</f>
        <v>2841.666666666667</v>
      </c>
      <c r="O167" s="337">
        <f ca="1">IF(rF1.CheckWallNotExisting=1,0,rF1.MasonryStrenghtChar*rF1.MasonryStiffnessFactor)</f>
        <v>2841.666666666667</v>
      </c>
      <c r="P167" s="309"/>
      <c r="Q167" s="309"/>
      <c r="R167" s="403"/>
      <c r="S167" s="155"/>
      <c r="T167" s="238">
        <v>0.66</v>
      </c>
      <c r="U167" s="209">
        <f t="shared" ca="1" si="26"/>
        <v>208.69200000000001</v>
      </c>
      <c r="V167" s="118">
        <f t="shared" ca="1" si="30"/>
        <v>4.8719999999999999E-2</v>
      </c>
      <c r="W167" s="204">
        <f t="shared" ca="1" si="31"/>
        <v>10.167474240000001</v>
      </c>
      <c r="Y167" s="209">
        <f t="shared" ca="1" si="27"/>
        <v>208.69200000000001</v>
      </c>
      <c r="Z167" s="118">
        <f t="shared" ca="1" si="32"/>
        <v>4.8719999999999999E-2</v>
      </c>
      <c r="AA167" s="204">
        <f t="shared" ca="1" si="33"/>
        <v>10.167474240000001</v>
      </c>
      <c r="AC167" s="209">
        <f t="shared" ca="1" si="34"/>
        <v>5.7749999999999996E-2</v>
      </c>
      <c r="AD167" s="118">
        <f t="shared" ca="1" si="35"/>
        <v>0</v>
      </c>
      <c r="AE167" s="118">
        <f t="shared" ca="1" si="36"/>
        <v>5.7749999999999996E-2</v>
      </c>
      <c r="AF167" s="118">
        <f t="shared" ca="1" si="28"/>
        <v>0.11422260492700487</v>
      </c>
      <c r="AG167" s="118">
        <f t="shared" ca="1" si="29"/>
        <v>29.261610387202843</v>
      </c>
      <c r="AH167" s="204">
        <f t="shared" ca="1" si="37"/>
        <v>1.689857999860964</v>
      </c>
      <c r="AI167" s="259"/>
    </row>
    <row r="168" spans="3:35" ht="15.75" x14ac:dyDescent="0.2">
      <c r="C168" s="308"/>
      <c r="E168" s="145">
        <f ca="1">IF(rF1.WallStiffnessTop01="Inf.",9.99999999999999E+23,rF1.WallStiffnessTop01)</f>
        <v>9.9999999999999904E+23</v>
      </c>
      <c r="K168" s="146" t="s">
        <v>287</v>
      </c>
      <c r="L168" s="146" t="s">
        <v>362</v>
      </c>
      <c r="M168" s="338" t="str">
        <f ca="1">IF(OR(rF1.WallBearingBottom="Inf.",rF1.MasonryElasticity="Inf."),"Inf.",rF1.WallBearingBottom*rF1.MasonryElasticity*1000*rF1.InertiaTop/rF1.WallHeight)</f>
        <v>Inf.</v>
      </c>
      <c r="N168" s="338">
        <f ca="1">IF(rF1.CheckBendingMomentSlabTop,0,rF1.WallBearingBottom*rF1.MasonryElasticity*1000*rF1.InertiaTop/rF1.WallHeight)</f>
        <v>14851.871455576558</v>
      </c>
      <c r="O168" s="338"/>
      <c r="P168" s="319"/>
      <c r="Q168" s="319"/>
      <c r="R168" s="403"/>
      <c r="S168" s="155"/>
      <c r="T168" s="238">
        <v>0.67</v>
      </c>
      <c r="U168" s="209">
        <f t="shared" ca="1" si="26"/>
        <v>211.85400000000001</v>
      </c>
      <c r="V168" s="118">
        <f t="shared" ca="1" si="30"/>
        <v>4.7640000000000002E-2</v>
      </c>
      <c r="W168" s="204">
        <f t="shared" ca="1" si="31"/>
        <v>10.092724560000001</v>
      </c>
      <c r="Y168" s="209">
        <f t="shared" ca="1" si="27"/>
        <v>211.85400000000001</v>
      </c>
      <c r="Z168" s="118">
        <f t="shared" ca="1" si="32"/>
        <v>4.7640000000000002E-2</v>
      </c>
      <c r="AA168" s="204">
        <f t="shared" ca="1" si="33"/>
        <v>10.092724560000001</v>
      </c>
      <c r="AC168" s="209">
        <f t="shared" ca="1" si="34"/>
        <v>5.8624999999999997E-2</v>
      </c>
      <c r="AD168" s="118">
        <f t="shared" ca="1" si="35"/>
        <v>0</v>
      </c>
      <c r="AE168" s="118">
        <f t="shared" ca="1" si="36"/>
        <v>5.8624999999999997E-2</v>
      </c>
      <c r="AF168" s="118">
        <f t="shared" ca="1" si="28"/>
        <v>0.10282260492700485</v>
      </c>
      <c r="AG168" s="118">
        <f t="shared" ca="1" si="29"/>
        <v>26.341152053869504</v>
      </c>
      <c r="AH168" s="204">
        <f t="shared" ca="1" si="37"/>
        <v>1.5442500391580996</v>
      </c>
      <c r="AI168" s="259"/>
    </row>
    <row r="169" spans="3:35" ht="15.75" x14ac:dyDescent="0.2">
      <c r="C169" s="308"/>
      <c r="G169" s="145">
        <f ca="1">IF(rF1.WallStiffnessBottom03="Inf.",9.99999999999999E+23,rF1.WallStiffnessBottom03)</f>
        <v>13094.4</v>
      </c>
      <c r="K169" s="266" t="s">
        <v>288</v>
      </c>
      <c r="L169" s="266" t="s">
        <v>363</v>
      </c>
      <c r="M169" s="339"/>
      <c r="N169" s="339">
        <f ca="1">IF(rF1.CheckBendingMomentSlabBottom,0,rF1.WallBearingTop*rF1.MasonryElasticity*1000*rF1.InertiaBottom/rF1.WallHeight)</f>
        <v>14851.871455576558</v>
      </c>
      <c r="O169" s="339">
        <f ca="1">IF(rF1.WallBearingTop="Inf.","Inf.",rF1.WallBearingTop*rF1.MasonryElasticity*1000*rF1.InertiaBottom/rF1.WallHeight)</f>
        <v>13094.4</v>
      </c>
      <c r="P169" s="309"/>
      <c r="Q169" s="309"/>
      <c r="R169" s="403"/>
      <c r="S169" s="155"/>
      <c r="T169" s="238">
        <v>0.68</v>
      </c>
      <c r="U169" s="209">
        <f t="shared" ca="1" si="26"/>
        <v>215.01600000000002</v>
      </c>
      <c r="V169" s="118">
        <f t="shared" ca="1" si="30"/>
        <v>4.6560000000000004E-2</v>
      </c>
      <c r="W169" s="204">
        <f t="shared" ca="1" si="31"/>
        <v>10.011144960000001</v>
      </c>
      <c r="Y169" s="209">
        <f t="shared" ca="1" si="27"/>
        <v>215.01600000000002</v>
      </c>
      <c r="Z169" s="118">
        <f t="shared" ca="1" si="32"/>
        <v>4.6560000000000004E-2</v>
      </c>
      <c r="AA169" s="204">
        <f t="shared" ca="1" si="33"/>
        <v>10.011144960000001</v>
      </c>
      <c r="AC169" s="209">
        <f t="shared" ca="1" si="34"/>
        <v>5.9499999999999997E-2</v>
      </c>
      <c r="AD169" s="118">
        <f t="shared" ca="1" si="35"/>
        <v>0</v>
      </c>
      <c r="AE169" s="118">
        <f t="shared" ca="1" si="36"/>
        <v>5.9499999999999997E-2</v>
      </c>
      <c r="AF169" s="118">
        <f t="shared" ca="1" si="28"/>
        <v>9.1422604927004825E-2</v>
      </c>
      <c r="AG169" s="118">
        <f t="shared" ca="1" si="29"/>
        <v>23.420693720536168</v>
      </c>
      <c r="AH169" s="204">
        <f t="shared" ca="1" si="37"/>
        <v>1.3935312763719019</v>
      </c>
      <c r="AI169" s="259"/>
    </row>
    <row r="170" spans="3:35" ht="15.75" x14ac:dyDescent="0.2">
      <c r="C170" s="313"/>
      <c r="K170" s="146" t="s">
        <v>289</v>
      </c>
      <c r="L170" s="146" t="s">
        <v>48</v>
      </c>
      <c r="M170" s="315"/>
      <c r="N170" s="326">
        <f ca="1">rF1.WallHeightEffective/rF1.WallThickness</f>
        <v>11.390724794708129</v>
      </c>
      <c r="O170" s="315"/>
      <c r="P170" s="340" t="str">
        <f>rP2.OutputWallSlenderness&amp;" "&amp;rP1.MaxSlendernessWall</f>
        <v>Schlankheit &gt; 27</v>
      </c>
      <c r="Q170" s="319"/>
      <c r="R170" s="403"/>
      <c r="S170" s="155"/>
      <c r="T170" s="238">
        <v>0.69</v>
      </c>
      <c r="U170" s="209">
        <f t="shared" ca="1" si="26"/>
        <v>218.17799999999997</v>
      </c>
      <c r="V170" s="118">
        <f t="shared" ca="1" si="30"/>
        <v>4.548000000000002E-2</v>
      </c>
      <c r="W170" s="204">
        <f t="shared" ca="1" si="31"/>
        <v>9.9227354400000038</v>
      </c>
      <c r="Y170" s="209">
        <f t="shared" ca="1" si="27"/>
        <v>218.17799999999997</v>
      </c>
      <c r="Z170" s="118">
        <f t="shared" ca="1" si="32"/>
        <v>4.548000000000002E-2</v>
      </c>
      <c r="AA170" s="204">
        <f t="shared" ca="1" si="33"/>
        <v>9.9227354400000038</v>
      </c>
      <c r="AC170" s="209">
        <f t="shared" ca="1" si="34"/>
        <v>6.0374999999999991E-2</v>
      </c>
      <c r="AD170" s="118">
        <f t="shared" ca="1" si="35"/>
        <v>0</v>
      </c>
      <c r="AE170" s="118">
        <f t="shared" ca="1" si="36"/>
        <v>6.0374999999999991E-2</v>
      </c>
      <c r="AF170" s="118">
        <f t="shared" ca="1" si="28"/>
        <v>8.002260492700497E-2</v>
      </c>
      <c r="AG170" s="118">
        <f t="shared" ca="1" si="29"/>
        <v>20.500235387202874</v>
      </c>
      <c r="AH170" s="204">
        <f t="shared" ca="1" si="37"/>
        <v>1.2377017115023734</v>
      </c>
      <c r="AI170" s="259"/>
    </row>
    <row r="171" spans="3:35" x14ac:dyDescent="0.2">
      <c r="K171" s="142" t="s">
        <v>290</v>
      </c>
      <c r="L171" s="142"/>
      <c r="M171" s="143" t="s">
        <v>255</v>
      </c>
      <c r="N171" s="143" t="s">
        <v>256</v>
      </c>
      <c r="O171" s="143" t="s">
        <v>257</v>
      </c>
      <c r="P171" s="143" t="s">
        <v>258</v>
      </c>
      <c r="Q171" s="192"/>
      <c r="R171" s="403"/>
      <c r="S171" s="155"/>
      <c r="T171" s="238">
        <v>0.7</v>
      </c>
      <c r="U171" s="209">
        <f t="shared" ca="1" si="26"/>
        <v>221.33999999999997</v>
      </c>
      <c r="V171" s="118">
        <f t="shared" ca="1" si="30"/>
        <v>4.4400000000000009E-2</v>
      </c>
      <c r="W171" s="204">
        <f t="shared" ca="1" si="31"/>
        <v>9.827496</v>
      </c>
      <c r="Y171" s="209">
        <f t="shared" ca="1" si="27"/>
        <v>221.33999999999997</v>
      </c>
      <c r="Z171" s="118">
        <f t="shared" ca="1" si="32"/>
        <v>4.4400000000000009E-2</v>
      </c>
      <c r="AA171" s="204">
        <f t="shared" ca="1" si="33"/>
        <v>9.827496</v>
      </c>
      <c r="AC171" s="209">
        <f t="shared" ca="1" si="34"/>
        <v>6.1249999999999992E-2</v>
      </c>
      <c r="AD171" s="118">
        <f t="shared" ca="1" si="35"/>
        <v>0</v>
      </c>
      <c r="AE171" s="118">
        <f t="shared" ca="1" si="36"/>
        <v>6.1249999999999992E-2</v>
      </c>
      <c r="AF171" s="118">
        <f t="shared" ca="1" si="28"/>
        <v>6.8622604927004949E-2</v>
      </c>
      <c r="AG171" s="118">
        <f t="shared" ca="1" si="29"/>
        <v>17.579777053869527</v>
      </c>
      <c r="AH171" s="204">
        <f t="shared" ca="1" si="37"/>
        <v>1.0767613445495083</v>
      </c>
      <c r="AI171" s="259"/>
    </row>
    <row r="172" spans="3:35" x14ac:dyDescent="0.2">
      <c r="C172" s="194">
        <v>0</v>
      </c>
      <c r="K172" s="146" t="s">
        <v>226</v>
      </c>
      <c r="L172" s="146"/>
      <c r="M172" s="341" t="str">
        <f ca="1">OFFSET(rL1.Slab01Head,rF1.SlabTypeSelection,rF1.ColumnPlacementFactor,1,1)</f>
        <v>zweiachsig gespannte Stahlbetondecke</v>
      </c>
      <c r="N172" s="341" t="str">
        <f ca="1">OFFSET(rL1.Slab02Head,rF1.SlabTypeSelection,rF1.ColumnPlacementFactor,1,1)</f>
        <v>zweiachsig gespannte Stahlbetondecke</v>
      </c>
      <c r="O172" s="341" t="str">
        <f ca="1">OFFSET(rF1.Slab03List,MIN(rF1.SlabTypeSelection*1,COUNTA(rF1.Slab03List))-1,rF1.ColumnPlacementFactor,1,1)</f>
        <v>zweiachsig gespannte Stahlbetondecke</v>
      </c>
      <c r="P172" s="341" t="str">
        <f ca="1">OFFSET(rF1.Slab04List,MIN(rF1.SlabTypeSelection*1,COUNTA(rF1.Slab04List))-1,rF1.ColumnPlacementFactor,1,1)</f>
        <v>zweiachsig gespannte Stahlbetondecke</v>
      </c>
      <c r="Q172" s="319"/>
      <c r="R172" s="403"/>
      <c r="S172" s="155"/>
      <c r="T172" s="238">
        <v>0.71</v>
      </c>
      <c r="U172" s="209">
        <f t="shared" ca="1" si="26"/>
        <v>224.50199999999998</v>
      </c>
      <c r="V172" s="118">
        <f t="shared" ca="1" si="30"/>
        <v>4.3319999999999997E-2</v>
      </c>
      <c r="W172" s="204">
        <f t="shared" ca="1" si="31"/>
        <v>9.7254266399999985</v>
      </c>
      <c r="Y172" s="209">
        <f t="shared" ca="1" si="27"/>
        <v>224.50199999999998</v>
      </c>
      <c r="Z172" s="118">
        <f t="shared" ca="1" si="32"/>
        <v>4.3319999999999997E-2</v>
      </c>
      <c r="AA172" s="204">
        <f t="shared" ca="1" si="33"/>
        <v>9.7254266399999985</v>
      </c>
      <c r="AC172" s="209">
        <f t="shared" ca="1" si="34"/>
        <v>6.2124999999999993E-2</v>
      </c>
      <c r="AD172" s="118">
        <f t="shared" ca="1" si="35"/>
        <v>0</v>
      </c>
      <c r="AE172" s="118">
        <f t="shared" ca="1" si="36"/>
        <v>6.2124999999999993E-2</v>
      </c>
      <c r="AF172" s="118">
        <f t="shared" ca="1" si="28"/>
        <v>5.7222604927004928E-2</v>
      </c>
      <c r="AG172" s="118">
        <f t="shared" ca="1" si="29"/>
        <v>14.659318720536191</v>
      </c>
      <c r="AH172" s="204">
        <f t="shared" ca="1" si="37"/>
        <v>0.91071017551331079</v>
      </c>
      <c r="AI172" s="259"/>
    </row>
    <row r="173" spans="3:35" x14ac:dyDescent="0.2">
      <c r="C173" s="308">
        <v>0</v>
      </c>
      <c r="K173" s="266" t="s">
        <v>219</v>
      </c>
      <c r="L173" s="266"/>
      <c r="M173" s="342" t="str">
        <f ca="1">IF(rF1.CheckWoodenSlab01,"-",OFFSET(rL1.SlabBearingHead,rF1.SlabBearingSelection,rF1.ColumnPlacementFactor,1,1))</f>
        <v>eingespannt</v>
      </c>
      <c r="N173" s="342" t="str">
        <f ca="1">IF(rF1.CheckWoodenSlab02,"-",OFFSET(rL1.SlabBearingHead,rF1.SlabBearingSelection,rF1.ColumnPlacementFactor,1,1))</f>
        <v>eingespannt</v>
      </c>
      <c r="O173" s="342" t="str">
        <f ca="1">IF(OR(rF1.CheckWoodenSlab03,rF1.SlabType=rP1.CheckWordCantilever),"-",OFFSET(rL1.SlabBearingHead,rF1.SlabBearingSelection,rF1.ColumnPlacementFactor,1,1))</f>
        <v>eingespannt</v>
      </c>
      <c r="P173" s="342" t="str">
        <f ca="1">IF(OR(rF1.CheckWoodenSlab04,rF1.SlabType=rP1.CheckWordCantilever),"-",OFFSET(rL1.SlabBearingHead,rF1.SlabBearingSelection,rF1.ColumnPlacementFactor,1,1))</f>
        <v>eingespannt</v>
      </c>
      <c r="Q173" s="309"/>
      <c r="S173" s="155"/>
      <c r="T173" s="238">
        <v>0.72</v>
      </c>
      <c r="U173" s="209">
        <f t="shared" ca="1" si="26"/>
        <v>227.66399999999999</v>
      </c>
      <c r="V173" s="118">
        <f t="shared" ca="1" si="30"/>
        <v>4.224E-2</v>
      </c>
      <c r="W173" s="204">
        <f t="shared" ca="1" si="31"/>
        <v>9.6165273599999992</v>
      </c>
      <c r="Y173" s="209">
        <f t="shared" ca="1" si="27"/>
        <v>227.66399999999999</v>
      </c>
      <c r="Z173" s="118">
        <f t="shared" ca="1" si="32"/>
        <v>4.224E-2</v>
      </c>
      <c r="AA173" s="204">
        <f t="shared" ca="1" si="33"/>
        <v>9.6165273599999992</v>
      </c>
      <c r="AC173" s="209">
        <f t="shared" ca="1" si="34"/>
        <v>6.3E-2</v>
      </c>
      <c r="AD173" s="118">
        <f t="shared" ca="1" si="35"/>
        <v>0</v>
      </c>
      <c r="AE173" s="118">
        <f t="shared" ca="1" si="36"/>
        <v>6.3E-2</v>
      </c>
      <c r="AF173" s="118">
        <f t="shared" ca="1" si="28"/>
        <v>4.5822604927004795E-2</v>
      </c>
      <c r="AG173" s="118">
        <f t="shared" ca="1" si="29"/>
        <v>11.738860387202823</v>
      </c>
      <c r="AH173" s="204">
        <f t="shared" ca="1" si="37"/>
        <v>0.73954820439377789</v>
      </c>
      <c r="AI173" s="259"/>
    </row>
    <row r="174" spans="3:35" ht="15.75" x14ac:dyDescent="0.2">
      <c r="C174" s="308">
        <v>1</v>
      </c>
      <c r="K174" s="146" t="s">
        <v>281</v>
      </c>
      <c r="L174" s="146" t="s">
        <v>50</v>
      </c>
      <c r="M174" s="336">
        <f ca="1">IF(rF1.CheckWoodenSlab01,"-",IF(rF1.SlabType=rP1.CheckWordCantilever,rP1.StiffnessFactorBearingCantilever,OFFSET(rL1.SlabBearingHead,rF1.SlabBearingSelection,rF1.ColumnPlacementFactor,1,1)))</f>
        <v>4</v>
      </c>
      <c r="N174" s="336">
        <f ca="1">IF(rF1.CheckWoodenSlab02,"-",IF(rF1.SlabType=rP1.CheckWordCantilever,rP1.StiffnessFactorBearingCantilever,OFFSET(rL1.SlabBearingHead,rF1.SlabBearingSelection,rF1.ColumnPlacementFactor,1,1)))</f>
        <v>4</v>
      </c>
      <c r="O174" s="336">
        <f ca="1">IF(rF1.CheckWoodenSlab03,"-",IF(rF1.SlabType=rP1.CheckWordCantilever,rP1.StiffnessFactorBearingCantilever,OFFSET(rL1.SlabBearingHead,rF1.SlabBearingSelection,rF1.ColumnPlacementFactor,1,1)))</f>
        <v>4</v>
      </c>
      <c r="P174" s="336">
        <f ca="1">IF(rF1.CheckWoodenSlab04,"-",IF(rF1.SlabType=rP1.CheckWordCantilever,rP1.StiffnessFactorBearingCantilever,OFFSET(rL1.SlabBearingHead,rF1.SlabBearingSelection,rF1.ColumnPlacementFactor,1,1)))</f>
        <v>4</v>
      </c>
      <c r="Q174" s="336"/>
      <c r="R174" s="403"/>
      <c r="S174" s="155"/>
      <c r="T174" s="238">
        <v>0.73</v>
      </c>
      <c r="U174" s="209">
        <f t="shared" ca="1" si="26"/>
        <v>230.82599999999999</v>
      </c>
      <c r="V174" s="118">
        <f t="shared" ca="1" si="30"/>
        <v>4.1160000000000002E-2</v>
      </c>
      <c r="W174" s="204">
        <f t="shared" ca="1" si="31"/>
        <v>9.5007981600000004</v>
      </c>
      <c r="Y174" s="209">
        <f t="shared" ca="1" si="27"/>
        <v>230.82599999999999</v>
      </c>
      <c r="Z174" s="118">
        <f t="shared" ca="1" si="32"/>
        <v>4.1160000000000002E-2</v>
      </c>
      <c r="AA174" s="204">
        <f t="shared" ca="1" si="33"/>
        <v>9.5007981600000004</v>
      </c>
      <c r="AC174" s="209">
        <f t="shared" ca="1" si="34"/>
        <v>6.3875000000000001E-2</v>
      </c>
      <c r="AD174" s="118">
        <f t="shared" ca="1" si="35"/>
        <v>0</v>
      </c>
      <c r="AE174" s="118">
        <f t="shared" ca="1" si="36"/>
        <v>6.3875000000000001E-2</v>
      </c>
      <c r="AF174" s="118">
        <f t="shared" ca="1" si="28"/>
        <v>3.4422604927004774E-2</v>
      </c>
      <c r="AG174" s="118">
        <f t="shared" ca="1" si="29"/>
        <v>8.8184020538694856</v>
      </c>
      <c r="AH174" s="204">
        <f t="shared" ca="1" si="37"/>
        <v>0.56327543119091339</v>
      </c>
      <c r="AI174" s="259"/>
    </row>
    <row r="175" spans="3:35" x14ac:dyDescent="0.2">
      <c r="C175" s="308">
        <v>1</v>
      </c>
      <c r="K175" s="266" t="s">
        <v>291</v>
      </c>
      <c r="L175" s="266"/>
      <c r="M175" s="343">
        <f ca="1">OFFSET(rL1.Slab01Head,rF1.SlabTypeSelection,rF1.ColumnPlacementFactor,1,1)</f>
        <v>1.5</v>
      </c>
      <c r="N175" s="343">
        <f ca="1">OFFSET(rL1.Slab02Head,rF1.SlabTypeSelection,rF1.ColumnPlacementFactor,1,1)</f>
        <v>1.5</v>
      </c>
      <c r="O175" s="343">
        <f ca="1">OFFSET(rL1.Slab03Head,rF1.SlabTypeSelection,rF1.ColumnPlacementFactor,1,1)</f>
        <v>1.5</v>
      </c>
      <c r="P175" s="343">
        <f ca="1">OFFSET(rL1.Slab04Head,rF1.SlabTypeSelection,rF1.ColumnPlacementFactor,1,1)</f>
        <v>1.5</v>
      </c>
      <c r="Q175" s="309"/>
      <c r="R175" s="403"/>
      <c r="S175" s="155"/>
      <c r="T175" s="238">
        <v>0.74</v>
      </c>
      <c r="U175" s="209">
        <f t="shared" ca="1" si="26"/>
        <v>233.988</v>
      </c>
      <c r="V175" s="118">
        <f t="shared" ca="1" si="30"/>
        <v>4.0080000000000005E-2</v>
      </c>
      <c r="W175" s="204">
        <f t="shared" ca="1" si="31"/>
        <v>9.3782390400000004</v>
      </c>
      <c r="Y175" s="209">
        <f t="shared" ca="1" si="27"/>
        <v>233.988</v>
      </c>
      <c r="Z175" s="118">
        <f t="shared" ca="1" si="32"/>
        <v>4.0080000000000005E-2</v>
      </c>
      <c r="AA175" s="204">
        <f t="shared" ca="1" si="33"/>
        <v>9.3782390400000004</v>
      </c>
      <c r="AC175" s="209">
        <f t="shared" ca="1" si="34"/>
        <v>6.4750000000000002E-2</v>
      </c>
      <c r="AD175" s="118">
        <f t="shared" ca="1" si="35"/>
        <v>0</v>
      </c>
      <c r="AE175" s="118">
        <f t="shared" ca="1" si="36"/>
        <v>6.4750000000000002E-2</v>
      </c>
      <c r="AF175" s="118">
        <f t="shared" ca="1" si="28"/>
        <v>2.3022604927004808E-2</v>
      </c>
      <c r="AG175" s="118">
        <f t="shared" ca="1" si="29"/>
        <v>5.897943720536162</v>
      </c>
      <c r="AH175" s="204">
        <f t="shared" ca="1" si="37"/>
        <v>0.38189185590471653</v>
      </c>
      <c r="AI175" s="259"/>
    </row>
    <row r="176" spans="3:35" ht="15.75" x14ac:dyDescent="0.2">
      <c r="C176" s="308"/>
      <c r="K176" s="146" t="s">
        <v>227</v>
      </c>
      <c r="L176" s="146" t="s">
        <v>3</v>
      </c>
      <c r="M176" s="318">
        <f>rF1.SlabSpanPerpendicular</f>
        <v>7</v>
      </c>
      <c r="N176" s="318">
        <f>rF1.SlabSpanPerpendicular</f>
        <v>7</v>
      </c>
      <c r="O176" s="318">
        <f>rF1.SlabSpanPerpendicular</f>
        <v>4</v>
      </c>
      <c r="P176" s="318">
        <f>rF1.SlabSpanPerpendicular</f>
        <v>4</v>
      </c>
      <c r="Q176" s="319"/>
      <c r="R176" s="404"/>
      <c r="S176" s="155"/>
      <c r="T176" s="238">
        <v>0.75</v>
      </c>
      <c r="U176" s="209">
        <f t="shared" ca="1" si="26"/>
        <v>237.14999999999998</v>
      </c>
      <c r="V176" s="118">
        <f t="shared" ca="1" si="30"/>
        <v>3.9000000000000007E-2</v>
      </c>
      <c r="W176" s="204">
        <f t="shared" ca="1" si="31"/>
        <v>9.2488500000000009</v>
      </c>
      <c r="Y176" s="209">
        <f t="shared" ca="1" si="27"/>
        <v>237.14999999999998</v>
      </c>
      <c r="Z176" s="118">
        <f t="shared" ca="1" si="32"/>
        <v>3.9000000000000007E-2</v>
      </c>
      <c r="AA176" s="204">
        <f t="shared" ca="1" si="33"/>
        <v>9.2488500000000009</v>
      </c>
      <c r="AC176" s="209">
        <f t="shared" ca="1" si="34"/>
        <v>6.5624999999999989E-2</v>
      </c>
      <c r="AD176" s="118">
        <f t="shared" ca="1" si="35"/>
        <v>0</v>
      </c>
      <c r="AE176" s="118">
        <f t="shared" ca="1" si="36"/>
        <v>6.5624999999999989E-2</v>
      </c>
      <c r="AF176" s="118">
        <f t="shared" ca="1" si="28"/>
        <v>1.1622604927005009E-2</v>
      </c>
      <c r="AG176" s="118">
        <f t="shared" ca="1" si="29"/>
        <v>2.9774853872028806</v>
      </c>
      <c r="AH176" s="204">
        <f t="shared" ca="1" si="37"/>
        <v>0.19539747853518902</v>
      </c>
      <c r="AI176" s="259"/>
    </row>
    <row r="177" spans="3:35" ht="15.75" x14ac:dyDescent="0.2">
      <c r="C177" s="308"/>
      <c r="K177" s="266" t="s">
        <v>228</v>
      </c>
      <c r="L177" s="266" t="s">
        <v>4</v>
      </c>
      <c r="M177" s="320">
        <f>rF1.SlabSpanParallel</f>
        <v>10</v>
      </c>
      <c r="N177" s="320">
        <f>rF1.SlabSpanParallel</f>
        <v>10</v>
      </c>
      <c r="O177" s="320">
        <f>rF1.SlabSpanParallel</f>
        <v>10</v>
      </c>
      <c r="P177" s="320">
        <f>rF1.SlabSpanParallel</f>
        <v>10</v>
      </c>
      <c r="Q177" s="309"/>
      <c r="R177" s="403"/>
      <c r="S177" s="155"/>
      <c r="T177" s="238">
        <v>0.76</v>
      </c>
      <c r="U177" s="209">
        <f t="shared" ca="1" si="26"/>
        <v>240.31199999999998</v>
      </c>
      <c r="V177" s="118">
        <f t="shared" ca="1" si="30"/>
        <v>3.7920000000000009E-2</v>
      </c>
      <c r="W177" s="204">
        <f t="shared" ca="1" si="31"/>
        <v>9.1126310400000019</v>
      </c>
      <c r="Y177" s="209">
        <f t="shared" ca="1" si="27"/>
        <v>240.31199999999998</v>
      </c>
      <c r="Z177" s="118">
        <f t="shared" ca="1" si="32"/>
        <v>3.7920000000000009E-2</v>
      </c>
      <c r="AA177" s="204">
        <f t="shared" ca="1" si="33"/>
        <v>9.1126310400000019</v>
      </c>
      <c r="AC177" s="209">
        <f t="shared" ca="1" si="34"/>
        <v>6.649999999999999E-2</v>
      </c>
      <c r="AD177" s="118">
        <f t="shared" ca="1" si="35"/>
        <v>0</v>
      </c>
      <c r="AE177" s="118">
        <f t="shared" ca="1" si="36"/>
        <v>6.649999999999999E-2</v>
      </c>
      <c r="AF177" s="118">
        <f t="shared" ca="1" si="28"/>
        <v>2.2260492700498791E-4</v>
      </c>
      <c r="AG177" s="118">
        <f t="shared" ca="1" si="29"/>
        <v>5.702705386954169E-2</v>
      </c>
      <c r="AH177" s="204">
        <f t="shared" ca="1" si="37"/>
        <v>3.7922990823245216E-3</v>
      </c>
      <c r="AI177" s="259"/>
    </row>
    <row r="178" spans="3:35" x14ac:dyDescent="0.2">
      <c r="C178" s="308"/>
      <c r="K178" s="146" t="s">
        <v>229</v>
      </c>
      <c r="L178" s="146" t="s">
        <v>136</v>
      </c>
      <c r="M178" s="318">
        <f>rF1.SlabInfluenceWidth</f>
        <v>3.75</v>
      </c>
      <c r="N178" s="318">
        <f>rF1.SlabInfluenceWidth</f>
        <v>3.75</v>
      </c>
      <c r="O178" s="318">
        <f>rF1.SlabInfluenceWidth</f>
        <v>3.75</v>
      </c>
      <c r="P178" s="318">
        <f>rF1.SlabInfluenceWidth</f>
        <v>3.75</v>
      </c>
      <c r="Q178" s="319"/>
      <c r="R178" s="403"/>
      <c r="S178" s="155"/>
      <c r="T178" s="238">
        <v>0.77</v>
      </c>
      <c r="U178" s="209">
        <f t="shared" ca="1" si="26"/>
        <v>243.47399999999999</v>
      </c>
      <c r="V178" s="118">
        <f t="shared" ca="1" si="30"/>
        <v>3.6839999999999998E-2</v>
      </c>
      <c r="W178" s="204">
        <f t="shared" ca="1" si="31"/>
        <v>8.9695821599999999</v>
      </c>
      <c r="Y178" s="209">
        <f t="shared" ca="1" si="27"/>
        <v>243.47399999999999</v>
      </c>
      <c r="Z178" s="118">
        <f t="shared" ca="1" si="32"/>
        <v>3.6839999999999998E-2</v>
      </c>
      <c r="AA178" s="204">
        <f t="shared" ca="1" si="33"/>
        <v>8.9695821599999999</v>
      </c>
      <c r="AC178" s="209">
        <f t="shared" ca="1" si="34"/>
        <v>6.737499999999999E-2</v>
      </c>
      <c r="AD178" s="118">
        <f t="shared" ca="1" si="35"/>
        <v>0</v>
      </c>
      <c r="AE178" s="118">
        <f t="shared" ca="1" si="36"/>
        <v>6.737499999999999E-2</v>
      </c>
      <c r="AF178" s="118">
        <f t="shared" ca="1" si="28"/>
        <v>-1.1177395072994978E-2</v>
      </c>
      <c r="AG178" s="118">
        <f t="shared" ca="1" si="29"/>
        <v>-2.8634312794637831</v>
      </c>
      <c r="AH178" s="204">
        <f t="shared" ca="1" si="37"/>
        <v>-0.19292368245387237</v>
      </c>
      <c r="AI178" s="259"/>
    </row>
    <row r="179" spans="3:35" ht="15.75" x14ac:dyDescent="0.2">
      <c r="C179" s="308"/>
      <c r="K179" s="266" t="s">
        <v>230</v>
      </c>
      <c r="L179" s="266" t="s">
        <v>5</v>
      </c>
      <c r="M179" s="320">
        <f>rF1.SlabThickness</f>
        <v>0.2</v>
      </c>
      <c r="N179" s="320">
        <f>rF1.SlabThickness</f>
        <v>0.2</v>
      </c>
      <c r="O179" s="320">
        <f>rF1.SlabThickness</f>
        <v>0.2</v>
      </c>
      <c r="P179" s="320">
        <f>rF1.SlabThickness</f>
        <v>0.2</v>
      </c>
      <c r="Q179" s="309"/>
      <c r="R179" s="403"/>
      <c r="S179" s="155"/>
      <c r="T179" s="238">
        <v>0.78</v>
      </c>
      <c r="U179" s="209">
        <f t="shared" ca="1" si="26"/>
        <v>246.636</v>
      </c>
      <c r="V179" s="118">
        <f t="shared" ca="1" si="30"/>
        <v>3.576E-2</v>
      </c>
      <c r="W179" s="204">
        <f t="shared" ca="1" si="31"/>
        <v>8.8197033600000001</v>
      </c>
      <c r="Y179" s="209">
        <f t="shared" ca="1" si="27"/>
        <v>246.636</v>
      </c>
      <c r="Z179" s="118">
        <f t="shared" ca="1" si="32"/>
        <v>3.576E-2</v>
      </c>
      <c r="AA179" s="204">
        <f t="shared" ca="1" si="33"/>
        <v>8.8197033600000001</v>
      </c>
      <c r="AC179" s="209">
        <f t="shared" ca="1" si="34"/>
        <v>6.8249999999999991E-2</v>
      </c>
      <c r="AD179" s="118">
        <f t="shared" ca="1" si="35"/>
        <v>0</v>
      </c>
      <c r="AE179" s="118">
        <f t="shared" ca="1" si="36"/>
        <v>6.8249999999999991E-2</v>
      </c>
      <c r="AF179" s="118">
        <f t="shared" ca="1" si="28"/>
        <v>-2.2577395072994999E-2</v>
      </c>
      <c r="AG179" s="118">
        <f t="shared" ca="1" si="29"/>
        <v>-5.7838896127971218</v>
      </c>
      <c r="AH179" s="204">
        <f t="shared" ca="1" si="37"/>
        <v>-0.39475046607340353</v>
      </c>
      <c r="AI179" s="259"/>
    </row>
    <row r="180" spans="3:35" ht="15.75" x14ac:dyDescent="0.2">
      <c r="C180" s="308"/>
      <c r="K180" s="146" t="s">
        <v>292</v>
      </c>
      <c r="L180" s="146" t="s">
        <v>51</v>
      </c>
      <c r="M180" s="334">
        <f>rF1.SlabInfluenceWidth*rF1.SlabThickness^3/12</f>
        <v>2.5000000000000005E-3</v>
      </c>
      <c r="N180" s="334">
        <f>rF1.SlabInfluenceWidth*rF1.SlabThickness^3/12</f>
        <v>2.5000000000000005E-3</v>
      </c>
      <c r="O180" s="334">
        <f>rF1.SlabInfluenceWidth*rF1.SlabThickness^3/12</f>
        <v>2.5000000000000005E-3</v>
      </c>
      <c r="P180" s="334">
        <f>rF1.SlabInfluenceWidth*rF1.SlabThickness^3/12</f>
        <v>2.5000000000000005E-3</v>
      </c>
      <c r="Q180" s="319"/>
      <c r="R180" s="403"/>
      <c r="S180" s="155"/>
      <c r="T180" s="238">
        <v>0.79</v>
      </c>
      <c r="U180" s="209">
        <f t="shared" ca="1" si="26"/>
        <v>249.798</v>
      </c>
      <c r="V180" s="118">
        <f t="shared" ca="1" si="30"/>
        <v>3.4680000000000002E-2</v>
      </c>
      <c r="W180" s="204">
        <f t="shared" ca="1" si="31"/>
        <v>8.6629946400000009</v>
      </c>
      <c r="Y180" s="209">
        <f t="shared" ca="1" si="27"/>
        <v>249.798</v>
      </c>
      <c r="Z180" s="118">
        <f t="shared" ca="1" si="32"/>
        <v>3.4680000000000002E-2</v>
      </c>
      <c r="AA180" s="204">
        <f t="shared" ca="1" si="33"/>
        <v>8.6629946400000009</v>
      </c>
      <c r="AC180" s="209">
        <f t="shared" ca="1" si="34"/>
        <v>6.9124999999999992E-2</v>
      </c>
      <c r="AD180" s="118">
        <f t="shared" ca="1" si="35"/>
        <v>0</v>
      </c>
      <c r="AE180" s="118">
        <f t="shared" ca="1" si="36"/>
        <v>6.9124999999999992E-2</v>
      </c>
      <c r="AF180" s="118">
        <f t="shared" ca="1" si="28"/>
        <v>-3.397739507299502E-2</v>
      </c>
      <c r="AG180" s="118">
        <f t="shared" ca="1" si="29"/>
        <v>-8.7043479461304596</v>
      </c>
      <c r="AH180" s="204">
        <f t="shared" ca="1" si="37"/>
        <v>-0.60168805177626794</v>
      </c>
      <c r="AI180" s="259"/>
    </row>
    <row r="181" spans="3:35" x14ac:dyDescent="0.2">
      <c r="C181" s="308">
        <v>0</v>
      </c>
      <c r="K181" s="266" t="s">
        <v>231</v>
      </c>
      <c r="L181" s="266"/>
      <c r="M181" s="342" t="str">
        <f ca="1">IF(rF1.CheckWoodenSlab01=1,"-",OFFSET(rD3.Knoten,rF1.ConcreteTypeSelection,rF1.ColumnPlacementFactor,1,1))</f>
        <v>C20/25</v>
      </c>
      <c r="N181" s="342" t="str">
        <f ca="1">IF(rF1.CheckWoodenSlab02=1,"-",OFFSET(rD3.Knoten,rF1.ConcreteTypeSelection,rF1.ColumnPlacementFactor,1,1))</f>
        <v>C20/25</v>
      </c>
      <c r="O181" s="342" t="str">
        <f ca="1">IF(rF1.CheckWoodenSlab03=1,"-",OFFSET(rD3.Knoten,rF1.ConcreteTypeSelection,rF1.ColumnPlacementFactor,1,1))</f>
        <v>C20/25</v>
      </c>
      <c r="P181" s="342" t="str">
        <f ca="1">IF(rF1.CheckWoodenSlab04=1,"-",OFFSET(rD3.Knoten,rF1.ConcreteTypeSelection,rF1.ColumnPlacementFactor,1,1))</f>
        <v>C20/25</v>
      </c>
      <c r="Q181" s="309"/>
      <c r="R181" s="403"/>
      <c r="S181" s="155"/>
      <c r="T181" s="238">
        <v>0.8</v>
      </c>
      <c r="U181" s="209">
        <f t="shared" ca="1" si="26"/>
        <v>252.96</v>
      </c>
      <c r="V181" s="118">
        <f t="shared" ca="1" si="30"/>
        <v>3.3600000000000005E-2</v>
      </c>
      <c r="W181" s="204">
        <f t="shared" ca="1" si="31"/>
        <v>8.4994560000000021</v>
      </c>
      <c r="Y181" s="209">
        <f t="shared" ca="1" si="27"/>
        <v>252.96</v>
      </c>
      <c r="Z181" s="118">
        <f t="shared" ca="1" si="32"/>
        <v>3.3600000000000005E-2</v>
      </c>
      <c r="AA181" s="204">
        <f t="shared" ca="1" si="33"/>
        <v>8.4994560000000021</v>
      </c>
      <c r="AC181" s="209">
        <f t="shared" ca="1" si="34"/>
        <v>6.9999999999999993E-2</v>
      </c>
      <c r="AD181" s="118">
        <f t="shared" ca="1" si="35"/>
        <v>0</v>
      </c>
      <c r="AE181" s="118">
        <f t="shared" ca="1" si="36"/>
        <v>6.9999999999999993E-2</v>
      </c>
      <c r="AF181" s="118">
        <f t="shared" ca="1" si="28"/>
        <v>-4.5377395072995014E-2</v>
      </c>
      <c r="AG181" s="118">
        <f t="shared" ca="1" si="29"/>
        <v>-11.624806279463792</v>
      </c>
      <c r="AH181" s="204">
        <f t="shared" ca="1" si="37"/>
        <v>-0.81373643956246533</v>
      </c>
      <c r="AI181" s="259"/>
    </row>
    <row r="182" spans="3:35" ht="15.75" x14ac:dyDescent="0.2">
      <c r="C182" s="308">
        <v>4</v>
      </c>
      <c r="K182" s="146" t="s">
        <v>293</v>
      </c>
      <c r="L182" s="146" t="s">
        <v>52</v>
      </c>
      <c r="M182" s="344">
        <f ca="1">IF(rF1.CheckWoodenSlab01=1,"-",OFFSET(rD3.Knoten,rF1.ConcreteTypeSelection,rF1.ColumnPlacementFactor,1,1))</f>
        <v>30000</v>
      </c>
      <c r="N182" s="344">
        <f ca="1">IF(rF1.CheckWoodenSlab02=1,"-",OFFSET(rD3.Knoten,rF1.ConcreteTypeSelection,rF1.ColumnPlacementFactor,1,1))</f>
        <v>30000</v>
      </c>
      <c r="O182" s="344">
        <f ca="1">IF(rF1.CheckWoodenSlab03=1,"-",OFFSET(rD3.Knoten,rF1.ConcreteTypeSelection,rF1.ColumnPlacementFactor,1,1))</f>
        <v>30000</v>
      </c>
      <c r="P182" s="344">
        <f ca="1">IF(rF1.CheckWoodenSlab04=1,"-",OFFSET(rD3.Knoten,rF1.ConcreteTypeSelection,rF1.ColumnPlacementFactor,1,1))</f>
        <v>30000</v>
      </c>
      <c r="Q182" s="319"/>
      <c r="R182" s="403"/>
      <c r="S182" s="155"/>
      <c r="T182" s="238">
        <v>0.81</v>
      </c>
      <c r="U182" s="209">
        <f t="shared" ca="1" si="26"/>
        <v>256.12200000000001</v>
      </c>
      <c r="V182" s="118">
        <f t="shared" ca="1" si="30"/>
        <v>3.2520000000000007E-2</v>
      </c>
      <c r="W182" s="204">
        <f t="shared" ca="1" si="31"/>
        <v>8.3290874400000021</v>
      </c>
      <c r="Y182" s="209">
        <f t="shared" ca="1" si="27"/>
        <v>256.12200000000001</v>
      </c>
      <c r="Z182" s="118">
        <f t="shared" ca="1" si="32"/>
        <v>3.2520000000000007E-2</v>
      </c>
      <c r="AA182" s="204">
        <f t="shared" ca="1" si="33"/>
        <v>8.3290874400000021</v>
      </c>
      <c r="AC182" s="209">
        <f t="shared" ca="1" si="34"/>
        <v>7.0874999999999994E-2</v>
      </c>
      <c r="AD182" s="118">
        <f t="shared" ca="1" si="35"/>
        <v>0</v>
      </c>
      <c r="AE182" s="118">
        <f t="shared" ca="1" si="36"/>
        <v>7.0874999999999994E-2</v>
      </c>
      <c r="AF182" s="118">
        <f t="shared" ca="1" si="28"/>
        <v>-5.6777395072995035E-2</v>
      </c>
      <c r="AG182" s="118">
        <f t="shared" ca="1" si="29"/>
        <v>-14.545264612797128</v>
      </c>
      <c r="AH182" s="204">
        <f t="shared" ca="1" si="37"/>
        <v>-1.0308956294319964</v>
      </c>
      <c r="AI182" s="259"/>
    </row>
    <row r="183" spans="3:35" ht="15.75" x14ac:dyDescent="0.2">
      <c r="C183" s="308"/>
      <c r="K183" s="266" t="s">
        <v>294</v>
      </c>
      <c r="L183" s="266" t="s">
        <v>53</v>
      </c>
      <c r="M183" s="339">
        <f ca="1">IF(rF1.CheckWoodenSlab01=1,"-",IF(ISNUMBER(rF1.SlabStiffnessType)=FALSE,rF1.SlabStiffnessType,IF(rF1.SlabType=rP1.CheckWordCantilever,0,rF1.SlabStiffnessBearing*rF1.ConcreteElasticity*1000*rF1.InertiaSlab/IF(rF1.SlabStiffnessType=1.5,MIN(rF1.SlabSpanPerpendicular*1,rF1.SlabSpanParallel*1),rF1.SlabSpanPerpendicular))))</f>
        <v>42857.142857142862</v>
      </c>
      <c r="N183" s="339">
        <f ca="1">IF(rF1.CheckWoodenSlab02=1,"-",IF(ISNUMBER(rF1.SlabStiffnessType)=FALSE,rF1.SlabStiffnessType,IF(rF1.SlabType=rP1.CheckWordCantilever,0,rF1.SlabStiffnessBearing*rF1.ConcreteElasticity*1000*rF1.InertiaSlab/IF(rF1.SlabStiffnessType=1.5,MIN(rF1.SlabSpanPerpendicular*1,rF1.SlabSpanParallel*1),rF1.SlabSpanPerpendicular))))</f>
        <v>42857.142857142862</v>
      </c>
      <c r="O183" s="339">
        <f ca="1">IF(rF1.CheckWoodenSlab03=1,"-",IF(ISNUMBER(rF1.SlabStiffnessType)=FALSE,rF1.SlabStiffnessType,IF(OR(rF1.CheckSlabExisting03=0,rF1.SlabType=rP1.CheckWordCantilever),0,rF1.SlabStiffnessBearing*rF1.ConcreteElasticity*1000*rF1.InertiaSlab/IF(rF1.SlabStiffnessType=1.5,MIN(rF1.SlabSpanPerpendicular*1,rF1.SlabSpanParallel*1),rF1.SlabSpanPerpendicular))))</f>
        <v>75000.000000000015</v>
      </c>
      <c r="P183" s="339">
        <f ca="1">IF(rF1.CheckWoodenSlab04=1,"-",IF(ISNUMBER(rF1.SlabStiffnessType)=FALSE,rF1.SlabStiffnessType,IF(OR(rF1.CheckSlabExisting04=0,rF1.SlabType=rP1.CheckWordCantilever),0,rF1.SlabStiffnessBearing*rF1.ConcreteElasticity*1000*rF1.InertiaSlab/IF(rF1.SlabStiffnessType=1.5,MIN(rF1.SlabSpanPerpendicular*1,rF1.SlabSpanParallel*1),rF1.SlabSpanPerpendicular))))</f>
        <v>75000.000000000015</v>
      </c>
      <c r="Q183" s="309"/>
      <c r="R183" s="403"/>
      <c r="S183" s="155"/>
      <c r="T183" s="238">
        <v>0.82</v>
      </c>
      <c r="U183" s="209">
        <f t="shared" ca="1" si="26"/>
        <v>259.28399999999999</v>
      </c>
      <c r="V183" s="118">
        <f t="shared" ca="1" si="30"/>
        <v>3.144000000000001E-2</v>
      </c>
      <c r="W183" s="204">
        <f t="shared" ca="1" si="31"/>
        <v>8.1518889600000026</v>
      </c>
      <c r="Y183" s="209">
        <f t="shared" ca="1" si="27"/>
        <v>259.28399999999999</v>
      </c>
      <c r="Z183" s="118">
        <f t="shared" ca="1" si="32"/>
        <v>3.144000000000001E-2</v>
      </c>
      <c r="AA183" s="204">
        <f t="shared" ca="1" si="33"/>
        <v>8.1518889600000026</v>
      </c>
      <c r="AC183" s="209">
        <f t="shared" ca="1" si="34"/>
        <v>7.1749999999999994E-2</v>
      </c>
      <c r="AD183" s="118">
        <f t="shared" ca="1" si="35"/>
        <v>0</v>
      </c>
      <c r="AE183" s="118">
        <f t="shared" ca="1" si="36"/>
        <v>7.1749999999999994E-2</v>
      </c>
      <c r="AF183" s="118">
        <f t="shared" ca="1" si="28"/>
        <v>-6.8177395072995028E-2</v>
      </c>
      <c r="AG183" s="118">
        <f t="shared" ca="1" si="29"/>
        <v>-17.465722946130462</v>
      </c>
      <c r="AH183" s="204">
        <f t="shared" ca="1" si="37"/>
        <v>-1.2531656213848605</v>
      </c>
      <c r="AI183" s="259"/>
    </row>
    <row r="184" spans="3:35" ht="15.75" x14ac:dyDescent="0.2">
      <c r="C184" s="308"/>
      <c r="K184" s="146" t="s">
        <v>295</v>
      </c>
      <c r="L184" s="146" t="s">
        <v>182</v>
      </c>
      <c r="M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4.666666666666667</v>
      </c>
      <c r="N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4.666666666666667</v>
      </c>
      <c r="O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4</v>
      </c>
      <c r="P184" s="318">
        <f ca="1">IF(rF1.SlabStiffnessType=1.5,IF(AND(rF1.SlabSpanPerpendicular/rF1.SlabSpanParallel&lt;=2,rF1.SlabSpanParallel/rF1.SlabSpanPerpendicular&lt;=2),MIN(rF1.SlabSpanPerpendicular/rF1.SlabStiffnessType,rF1.SlabSpanParallel/rF1.SlabStiffnessType),MIN(rF1.SlabSpanPerpendicular*1,rF1.SlabSpanParallel*1)),rF1.SlabSpanPerpendicular)</f>
        <v>4</v>
      </c>
      <c r="Q184" s="319"/>
      <c r="R184" s="403"/>
      <c r="S184" s="155"/>
      <c r="T184" s="238">
        <v>0.83</v>
      </c>
      <c r="U184" s="209">
        <f t="shared" ca="1" si="26"/>
        <v>262.44599999999997</v>
      </c>
      <c r="V184" s="118">
        <f t="shared" ca="1" si="30"/>
        <v>3.0360000000000012E-2</v>
      </c>
      <c r="W184" s="204">
        <f t="shared" ca="1" si="31"/>
        <v>7.9678605600000019</v>
      </c>
      <c r="Y184" s="209">
        <f t="shared" ca="1" si="27"/>
        <v>262.44599999999997</v>
      </c>
      <c r="Z184" s="118">
        <f t="shared" ca="1" si="32"/>
        <v>3.0360000000000012E-2</v>
      </c>
      <c r="AA184" s="204">
        <f t="shared" ca="1" si="33"/>
        <v>7.9678605600000019</v>
      </c>
      <c r="AC184" s="209">
        <f t="shared" ca="1" si="34"/>
        <v>7.2624999999999995E-2</v>
      </c>
      <c r="AD184" s="118">
        <f t="shared" ca="1" si="35"/>
        <v>0</v>
      </c>
      <c r="AE184" s="118">
        <f t="shared" ca="1" si="36"/>
        <v>7.2624999999999995E-2</v>
      </c>
      <c r="AF184" s="118">
        <f t="shared" ca="1" si="28"/>
        <v>-7.957739507299505E-2</v>
      </c>
      <c r="AG184" s="118">
        <f t="shared" ca="1" si="29"/>
        <v>-20.386181279463798</v>
      </c>
      <c r="AH184" s="204">
        <f t="shared" ca="1" si="37"/>
        <v>-1.4805464154210584</v>
      </c>
      <c r="AI184" s="259"/>
    </row>
    <row r="185" spans="3:35" ht="15.75" x14ac:dyDescent="0.2">
      <c r="C185" s="313"/>
      <c r="K185" s="266"/>
      <c r="L185" s="266" t="s">
        <v>54</v>
      </c>
      <c r="M185" s="345">
        <f ca="1">IF(rF1.CheckWoodenSlab01=1,"-",((-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0</v>
      </c>
      <c r="N185" s="345">
        <f ca="1">IF(rF1.CheckWoodenSlab02=1,"-",((-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-30.171296296296305</v>
      </c>
      <c r="O185" s="345">
        <f ca="1">IF(rF1.CheckWoodenSlab03=1,"-",IF(rF1.CheckSlabExisting03=0,0,((-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0</v>
      </c>
      <c r="P185" s="345">
        <f ca="1">IF(rF1.CheckWoodenSlab04=1,"-",IF(rF1.CheckSlabExisting04=0,0,(-rF1.TotalLoadDesign*rF1.SlabSpanDecisive^2/(4*(rF1.SlabStiffnessBearing-1)))-IF(rF1.SlabType=rP1.CheckWordCantilever,rF1.DesignTotalLineLoad*rF1.PositioningLineLoad,rF1.DesignTotalLineLoad*rF1.PositioningLineLoad*(rF1.SlabSpanDecisive-rF1.PositioningLineLoad)/rF1.SlabSpanDecisive*1/(5-rF1.SlabStiffnessBearing)*(4-rF1.SlabStiffnessBearing+(rF1.SlabSpanDecisive-rF1.PositioningLineLoad)/rF1.SlabSpanDecisive)))*rF1.SlabInfluenceWidth/INDEX(rF1.WallLenght,1,2))</f>
        <v>-18.8</v>
      </c>
      <c r="Q185" s="309"/>
      <c r="R185" s="403"/>
      <c r="S185" s="155"/>
      <c r="T185" s="238">
        <v>0.84</v>
      </c>
      <c r="U185" s="209">
        <f t="shared" ca="1" si="26"/>
        <v>265.608</v>
      </c>
      <c r="V185" s="118">
        <f t="shared" ca="1" si="30"/>
        <v>2.928E-2</v>
      </c>
      <c r="W185" s="204">
        <f t="shared" ca="1" si="31"/>
        <v>7.7770022399999998</v>
      </c>
      <c r="Y185" s="209">
        <f t="shared" ca="1" si="27"/>
        <v>265.608</v>
      </c>
      <c r="Z185" s="118">
        <f t="shared" ca="1" si="32"/>
        <v>2.928E-2</v>
      </c>
      <c r="AA185" s="204">
        <f t="shared" ca="1" si="33"/>
        <v>7.7770022399999998</v>
      </c>
      <c r="AC185" s="209">
        <f t="shared" ca="1" si="34"/>
        <v>7.3499999999999996E-2</v>
      </c>
      <c r="AD185" s="118">
        <f t="shared" ca="1" si="35"/>
        <v>0</v>
      </c>
      <c r="AE185" s="118">
        <f t="shared" ca="1" si="36"/>
        <v>7.3499999999999996E-2</v>
      </c>
      <c r="AF185" s="118">
        <f t="shared" ca="1" si="28"/>
        <v>-9.0977395072995071E-2</v>
      </c>
      <c r="AG185" s="118">
        <f t="shared" ca="1" si="29"/>
        <v>-23.306639612797142</v>
      </c>
      <c r="AH185" s="204">
        <f t="shared" ca="1" si="37"/>
        <v>-1.7130380115405899</v>
      </c>
      <c r="AI185" s="259"/>
    </row>
    <row r="186" spans="3:35" x14ac:dyDescent="0.2">
      <c r="K186" s="140" t="s">
        <v>296</v>
      </c>
      <c r="L186" s="140"/>
      <c r="M186" s="140"/>
      <c r="N186" s="140"/>
      <c r="O186" s="140"/>
      <c r="P186" s="140"/>
      <c r="Q186" s="141"/>
      <c r="R186" s="403"/>
      <c r="S186" s="155"/>
      <c r="T186" s="238">
        <v>0.85</v>
      </c>
      <c r="U186" s="209">
        <f t="shared" ca="1" si="26"/>
        <v>268.77</v>
      </c>
      <c r="V186" s="118">
        <f t="shared" ca="1" si="30"/>
        <v>2.8200000000000003E-2</v>
      </c>
      <c r="W186" s="204">
        <f t="shared" ca="1" si="31"/>
        <v>7.5793140000000001</v>
      </c>
      <c r="Y186" s="209">
        <f t="shared" ca="1" si="27"/>
        <v>268.77</v>
      </c>
      <c r="Z186" s="118">
        <f t="shared" ca="1" si="32"/>
        <v>2.8200000000000003E-2</v>
      </c>
      <c r="AA186" s="204">
        <f t="shared" ca="1" si="33"/>
        <v>7.5793140000000001</v>
      </c>
      <c r="AC186" s="209">
        <f t="shared" ca="1" si="34"/>
        <v>7.4374999999999997E-2</v>
      </c>
      <c r="AD186" s="118">
        <f t="shared" ca="1" si="35"/>
        <v>0</v>
      </c>
      <c r="AE186" s="118">
        <f t="shared" ca="1" si="36"/>
        <v>7.4374999999999997E-2</v>
      </c>
      <c r="AF186" s="118">
        <f t="shared" ca="1" si="28"/>
        <v>-0.10237739507299506</v>
      </c>
      <c r="AG186" s="118">
        <f t="shared" ca="1" si="29"/>
        <v>-26.227097946130471</v>
      </c>
      <c r="AH186" s="204">
        <f t="shared" ca="1" si="37"/>
        <v>-1.9506404097434538</v>
      </c>
      <c r="AI186" s="259"/>
    </row>
    <row r="187" spans="3:35" x14ac:dyDescent="0.2">
      <c r="K187" s="142" t="s">
        <v>297</v>
      </c>
      <c r="L187" s="142"/>
      <c r="M187" s="143" t="s">
        <v>255</v>
      </c>
      <c r="N187" s="143" t="s">
        <v>256</v>
      </c>
      <c r="O187" s="143" t="s">
        <v>257</v>
      </c>
      <c r="P187" s="143" t="s">
        <v>258</v>
      </c>
      <c r="Q187" s="192"/>
      <c r="R187" s="403"/>
      <c r="S187" s="155"/>
      <c r="T187" s="238">
        <v>0.86</v>
      </c>
      <c r="U187" s="209">
        <f t="shared" ca="1" si="26"/>
        <v>271.93199999999996</v>
      </c>
      <c r="V187" s="118">
        <f t="shared" ca="1" si="30"/>
        <v>2.7120000000000019E-2</v>
      </c>
      <c r="W187" s="204">
        <f t="shared" ca="1" si="31"/>
        <v>7.3747958400000044</v>
      </c>
      <c r="Y187" s="209">
        <f t="shared" ca="1" si="27"/>
        <v>271.93199999999996</v>
      </c>
      <c r="Z187" s="118">
        <f t="shared" ca="1" si="32"/>
        <v>2.7120000000000019E-2</v>
      </c>
      <c r="AA187" s="204">
        <f t="shared" ca="1" si="33"/>
        <v>7.3747958400000044</v>
      </c>
      <c r="AC187" s="209">
        <f t="shared" ca="1" si="34"/>
        <v>7.5249999999999997E-2</v>
      </c>
      <c r="AD187" s="118">
        <f t="shared" ca="1" si="35"/>
        <v>0</v>
      </c>
      <c r="AE187" s="118">
        <f t="shared" ca="1" si="36"/>
        <v>7.5249999999999997E-2</v>
      </c>
      <c r="AF187" s="118">
        <f t="shared" ca="1" si="28"/>
        <v>-0.11377739507299509</v>
      </c>
      <c r="AG187" s="118">
        <f t="shared" ca="1" si="29"/>
        <v>-29.147556279463814</v>
      </c>
      <c r="AH187" s="204">
        <f t="shared" ca="1" si="37"/>
        <v>-2.1933536100296518</v>
      </c>
      <c r="AI187" s="259"/>
    </row>
    <row r="188" spans="3:35" ht="15.75" x14ac:dyDescent="0.2">
      <c r="K188" s="218" t="s">
        <v>233</v>
      </c>
      <c r="L188" s="146" t="s">
        <v>6</v>
      </c>
      <c r="M188" s="346">
        <f>rF1.DeadLoadDesign</f>
        <v>0</v>
      </c>
      <c r="N188" s="346">
        <f>rF1.DeadLoadDesign</f>
        <v>9.25</v>
      </c>
      <c r="O188" s="346">
        <f>rF1.DeadLoadDesign</f>
        <v>0</v>
      </c>
      <c r="P188" s="346">
        <f>rF1.DeadLoadDesign</f>
        <v>9.25</v>
      </c>
      <c r="Q188" s="319"/>
      <c r="S188" s="155"/>
      <c r="T188" s="238">
        <v>0.87</v>
      </c>
      <c r="U188" s="209">
        <f t="shared" ca="1" si="26"/>
        <v>275.09399999999999</v>
      </c>
      <c r="V188" s="118">
        <f t="shared" ca="1" si="30"/>
        <v>2.6040000000000008E-2</v>
      </c>
      <c r="W188" s="204">
        <f t="shared" ca="1" si="31"/>
        <v>7.1634477600000022</v>
      </c>
      <c r="Y188" s="209">
        <f t="shared" ca="1" si="27"/>
        <v>275.09399999999999</v>
      </c>
      <c r="Z188" s="118">
        <f t="shared" ca="1" si="32"/>
        <v>2.6040000000000008E-2</v>
      </c>
      <c r="AA188" s="204">
        <f t="shared" ca="1" si="33"/>
        <v>7.1634477600000022</v>
      </c>
      <c r="AC188" s="209">
        <f t="shared" ca="1" si="34"/>
        <v>7.6124999999999998E-2</v>
      </c>
      <c r="AD188" s="118">
        <f t="shared" ca="1" si="35"/>
        <v>0</v>
      </c>
      <c r="AE188" s="118">
        <f t="shared" ca="1" si="36"/>
        <v>7.6124999999999998E-2</v>
      </c>
      <c r="AF188" s="118">
        <f t="shared" ca="1" si="28"/>
        <v>-0.12517739507299508</v>
      </c>
      <c r="AG188" s="118">
        <f t="shared" ca="1" si="29"/>
        <v>-32.068014612797143</v>
      </c>
      <c r="AH188" s="204">
        <f t="shared" ca="1" si="37"/>
        <v>-2.4411776123991826</v>
      </c>
      <c r="AI188" s="259"/>
    </row>
    <row r="189" spans="3:35" ht="15.75" x14ac:dyDescent="0.2">
      <c r="K189" s="347" t="s">
        <v>234</v>
      </c>
      <c r="L189" s="266" t="s">
        <v>7</v>
      </c>
      <c r="M189" s="348">
        <f>rF1.LiveLoadDesign</f>
        <v>0</v>
      </c>
      <c r="N189" s="348">
        <f>rF1.LiveLoadDesign</f>
        <v>4.05</v>
      </c>
      <c r="O189" s="348">
        <f>rF1.LiveLoadDesign</f>
        <v>0</v>
      </c>
      <c r="P189" s="348">
        <f>rF1.LiveLoadDesign</f>
        <v>2.0299999999999998</v>
      </c>
      <c r="Q189" s="309"/>
      <c r="S189" s="155"/>
      <c r="T189" s="238">
        <v>0.88</v>
      </c>
      <c r="U189" s="209">
        <f t="shared" ca="1" si="26"/>
        <v>278.25599999999997</v>
      </c>
      <c r="V189" s="118">
        <f t="shared" ca="1" si="30"/>
        <v>2.496000000000001E-2</v>
      </c>
      <c r="W189" s="204">
        <f t="shared" ca="1" si="31"/>
        <v>6.9452697600000022</v>
      </c>
      <c r="Y189" s="209">
        <f t="shared" ca="1" si="27"/>
        <v>278.25599999999997</v>
      </c>
      <c r="Z189" s="118">
        <f t="shared" ca="1" si="32"/>
        <v>2.496000000000001E-2</v>
      </c>
      <c r="AA189" s="204">
        <f t="shared" ca="1" si="33"/>
        <v>6.9452697600000022</v>
      </c>
      <c r="AC189" s="209">
        <f t="shared" ca="1" si="34"/>
        <v>7.6999999999999999E-2</v>
      </c>
      <c r="AD189" s="118">
        <f t="shared" ca="1" si="35"/>
        <v>0</v>
      </c>
      <c r="AE189" s="118">
        <f t="shared" ca="1" si="36"/>
        <v>7.6999999999999999E-2</v>
      </c>
      <c r="AF189" s="118">
        <f t="shared" ca="1" si="28"/>
        <v>-0.1365773950729951</v>
      </c>
      <c r="AG189" s="118">
        <f t="shared" ca="1" si="29"/>
        <v>-34.988472946130479</v>
      </c>
      <c r="AH189" s="204">
        <f t="shared" ca="1" si="37"/>
        <v>-2.6941124168520467</v>
      </c>
      <c r="AI189" s="259"/>
    </row>
    <row r="190" spans="3:35" ht="15.75" x14ac:dyDescent="0.2">
      <c r="K190" s="218" t="s">
        <v>235</v>
      </c>
      <c r="L190" s="146" t="s">
        <v>594</v>
      </c>
      <c r="M190" s="346">
        <f>rF1.DeadLoadDesign+rF1.LiveLoadDesign</f>
        <v>0</v>
      </c>
      <c r="N190" s="346">
        <f>rF1.DeadLoadDesign+rF1.LiveLoadDesign</f>
        <v>13.3</v>
      </c>
      <c r="O190" s="346">
        <f>rF1.DeadLoadDesign+rF1.LiveLoadDesign</f>
        <v>0</v>
      </c>
      <c r="P190" s="346">
        <f>rF1.DeadLoadDesign+rF1.LiveLoadDesign</f>
        <v>11.28</v>
      </c>
      <c r="Q190" s="319"/>
      <c r="R190" s="403"/>
      <c r="S190" s="155"/>
      <c r="T190" s="238">
        <v>0.89</v>
      </c>
      <c r="U190" s="209">
        <f t="shared" ca="1" si="26"/>
        <v>281.41800000000001</v>
      </c>
      <c r="V190" s="118">
        <f t="shared" ca="1" si="30"/>
        <v>2.3879999999999998E-2</v>
      </c>
      <c r="W190" s="204">
        <f t="shared" ca="1" si="31"/>
        <v>6.72026184</v>
      </c>
      <c r="Y190" s="209">
        <f t="shared" ca="1" si="27"/>
        <v>281.41800000000001</v>
      </c>
      <c r="Z190" s="118">
        <f t="shared" ca="1" si="32"/>
        <v>2.3879999999999998E-2</v>
      </c>
      <c r="AA190" s="204">
        <f t="shared" ca="1" si="33"/>
        <v>6.72026184</v>
      </c>
      <c r="AC190" s="209">
        <f t="shared" ca="1" si="34"/>
        <v>7.7875E-2</v>
      </c>
      <c r="AD190" s="118">
        <f t="shared" ca="1" si="35"/>
        <v>0</v>
      </c>
      <c r="AE190" s="118">
        <f t="shared" ca="1" si="36"/>
        <v>7.7875E-2</v>
      </c>
      <c r="AF190" s="118">
        <f t="shared" ca="1" si="28"/>
        <v>-0.14797739507299509</v>
      </c>
      <c r="AG190" s="118">
        <f t="shared" ca="1" si="29"/>
        <v>-37.908931279463815</v>
      </c>
      <c r="AH190" s="204">
        <f t="shared" ca="1" si="37"/>
        <v>-2.9521580233882445</v>
      </c>
      <c r="AI190" s="259"/>
    </row>
    <row r="191" spans="3:35" x14ac:dyDescent="0.2">
      <c r="K191" s="142" t="s">
        <v>298</v>
      </c>
      <c r="L191" s="142"/>
      <c r="M191" s="143" t="s">
        <v>255</v>
      </c>
      <c r="N191" s="143" t="s">
        <v>256</v>
      </c>
      <c r="O191" s="143" t="s">
        <v>257</v>
      </c>
      <c r="P191" s="143" t="s">
        <v>258</v>
      </c>
      <c r="Q191" s="192"/>
      <c r="R191" s="403"/>
      <c r="S191" s="155"/>
      <c r="T191" s="238">
        <v>0.9</v>
      </c>
      <c r="U191" s="209">
        <f t="shared" ca="1" si="26"/>
        <v>284.58</v>
      </c>
      <c r="V191" s="118">
        <f t="shared" ca="1" si="30"/>
        <v>2.2800000000000001E-2</v>
      </c>
      <c r="W191" s="204">
        <f t="shared" ca="1" si="31"/>
        <v>6.4884240000000002</v>
      </c>
      <c r="Y191" s="209">
        <f t="shared" ca="1" si="27"/>
        <v>284.58</v>
      </c>
      <c r="Z191" s="118">
        <f t="shared" ca="1" si="32"/>
        <v>2.2800000000000001E-2</v>
      </c>
      <c r="AA191" s="204">
        <f t="shared" ca="1" si="33"/>
        <v>6.4884240000000002</v>
      </c>
      <c r="AC191" s="209">
        <f t="shared" ca="1" si="34"/>
        <v>7.8750000000000001E-2</v>
      </c>
      <c r="AD191" s="118">
        <f t="shared" ca="1" si="35"/>
        <v>0</v>
      </c>
      <c r="AE191" s="118">
        <f t="shared" ca="1" si="36"/>
        <v>7.8750000000000001E-2</v>
      </c>
      <c r="AF191" s="118">
        <f t="shared" ca="1" si="28"/>
        <v>-0.15937739507299511</v>
      </c>
      <c r="AG191" s="118">
        <f t="shared" ca="1" si="29"/>
        <v>-40.829389612797144</v>
      </c>
      <c r="AH191" s="204">
        <f t="shared" ca="1" si="37"/>
        <v>-3.2153144320077751</v>
      </c>
      <c r="AI191" s="259"/>
    </row>
    <row r="192" spans="3:35" x14ac:dyDescent="0.2">
      <c r="K192" s="347" t="s">
        <v>237</v>
      </c>
      <c r="L192" s="266"/>
      <c r="M192" s="348">
        <f>rF1.DesignLineDeadLoad</f>
        <v>0</v>
      </c>
      <c r="N192" s="348">
        <f>rF1.DesignLineDeadLoad</f>
        <v>0</v>
      </c>
      <c r="O192" s="348">
        <f>rF1.DesignLineDeadLoad</f>
        <v>0</v>
      </c>
      <c r="P192" s="348">
        <f>rF1.DesignLineDeadLoad</f>
        <v>0</v>
      </c>
      <c r="Q192" s="309"/>
      <c r="R192" s="403"/>
      <c r="S192" s="155"/>
      <c r="T192" s="238">
        <v>0.91</v>
      </c>
      <c r="U192" s="209">
        <f t="shared" ca="1" si="26"/>
        <v>287.74200000000002</v>
      </c>
      <c r="V192" s="118">
        <f t="shared" ca="1" si="30"/>
        <v>2.1719999999999989E-2</v>
      </c>
      <c r="W192" s="204">
        <f t="shared" ca="1" si="31"/>
        <v>6.2497562399999973</v>
      </c>
      <c r="Y192" s="209">
        <f t="shared" ca="1" si="27"/>
        <v>287.74200000000002</v>
      </c>
      <c r="Z192" s="118">
        <f t="shared" ca="1" si="32"/>
        <v>2.1719999999999989E-2</v>
      </c>
      <c r="AA192" s="204">
        <f t="shared" ca="1" si="33"/>
        <v>6.2497562399999973</v>
      </c>
      <c r="AC192" s="209">
        <f t="shared" ca="1" si="34"/>
        <v>7.9625000000000001E-2</v>
      </c>
      <c r="AD192" s="118">
        <f t="shared" ca="1" si="35"/>
        <v>0</v>
      </c>
      <c r="AE192" s="118">
        <f t="shared" ca="1" si="36"/>
        <v>7.9625000000000001E-2</v>
      </c>
      <c r="AF192" s="118">
        <f t="shared" ca="1" si="28"/>
        <v>-0.17077739507299511</v>
      </c>
      <c r="AG192" s="118">
        <f t="shared" ca="1" si="29"/>
        <v>-43.749847946130487</v>
      </c>
      <c r="AH192" s="204">
        <f t="shared" ca="1" si="37"/>
        <v>-3.4835816427106399</v>
      </c>
      <c r="AI192" s="259"/>
    </row>
    <row r="193" spans="5:35" x14ac:dyDescent="0.2">
      <c r="K193" s="218" t="s">
        <v>238</v>
      </c>
      <c r="L193" s="146"/>
      <c r="M193" s="346">
        <f>rF1.DesignLineLiveLoad</f>
        <v>0</v>
      </c>
      <c r="N193" s="346">
        <f>rF1.DesignLineLiveLoad</f>
        <v>0</v>
      </c>
      <c r="O193" s="346">
        <f>rF1.DesignLineLiveLoad</f>
        <v>0</v>
      </c>
      <c r="P193" s="346">
        <f>rF1.DesignLineLiveLoad</f>
        <v>0</v>
      </c>
      <c r="Q193" s="319"/>
      <c r="S193" s="155"/>
      <c r="T193" s="238">
        <v>0.92</v>
      </c>
      <c r="U193" s="209">
        <f t="shared" ca="1" si="26"/>
        <v>290.904</v>
      </c>
      <c r="V193" s="118">
        <f t="shared" ca="1" si="30"/>
        <v>2.0640000000000006E-2</v>
      </c>
      <c r="W193" s="204">
        <f t="shared" ca="1" si="31"/>
        <v>6.0042585600000011</v>
      </c>
      <c r="Y193" s="209">
        <f t="shared" ca="1" si="27"/>
        <v>290.904</v>
      </c>
      <c r="Z193" s="118">
        <f t="shared" ca="1" si="32"/>
        <v>2.0640000000000006E-2</v>
      </c>
      <c r="AA193" s="204">
        <f t="shared" ca="1" si="33"/>
        <v>6.0042585600000011</v>
      </c>
      <c r="AC193" s="209">
        <f t="shared" ca="1" si="34"/>
        <v>8.0500000000000002E-2</v>
      </c>
      <c r="AD193" s="118">
        <f t="shared" ca="1" si="35"/>
        <v>0</v>
      </c>
      <c r="AE193" s="118">
        <f t="shared" ca="1" si="36"/>
        <v>8.0500000000000002E-2</v>
      </c>
      <c r="AF193" s="118">
        <f t="shared" ca="1" si="28"/>
        <v>-0.18217739507299513</v>
      </c>
      <c r="AG193" s="118">
        <f t="shared" ca="1" si="29"/>
        <v>-46.670306279463816</v>
      </c>
      <c r="AH193" s="204">
        <f t="shared" ca="1" si="37"/>
        <v>-3.7569596554968374</v>
      </c>
      <c r="AI193" s="259"/>
    </row>
    <row r="194" spans="5:35" x14ac:dyDescent="0.2">
      <c r="K194" s="347" t="s">
        <v>239</v>
      </c>
      <c r="L194" s="266"/>
      <c r="M194" s="348">
        <f>rF1.DesignLineDeadLoad+rF1.DesignLineLiveLoad</f>
        <v>0</v>
      </c>
      <c r="N194" s="348">
        <f>rF1.DesignLineDeadLoad+rF1.DesignLineLiveLoad</f>
        <v>0</v>
      </c>
      <c r="O194" s="348">
        <f>rF1.DesignLineDeadLoad+rF1.DesignLineLiveLoad</f>
        <v>0</v>
      </c>
      <c r="P194" s="348">
        <f>rF1.DesignLineDeadLoad+rF1.DesignLineLiveLoad</f>
        <v>0</v>
      </c>
      <c r="Q194" s="309"/>
      <c r="R194" s="403"/>
      <c r="S194" s="155"/>
      <c r="T194" s="238">
        <v>0.93</v>
      </c>
      <c r="U194" s="209">
        <f t="shared" ca="1" si="26"/>
        <v>294.06600000000003</v>
      </c>
      <c r="V194" s="118">
        <f t="shared" ca="1" si="30"/>
        <v>1.9559999999999994E-2</v>
      </c>
      <c r="W194" s="204">
        <f t="shared" ca="1" si="31"/>
        <v>5.7519309599999993</v>
      </c>
      <c r="Y194" s="209">
        <f t="shared" ca="1" si="27"/>
        <v>294.06600000000003</v>
      </c>
      <c r="Z194" s="118">
        <f t="shared" ca="1" si="32"/>
        <v>1.9559999999999994E-2</v>
      </c>
      <c r="AA194" s="204">
        <f t="shared" ca="1" si="33"/>
        <v>5.7519309599999993</v>
      </c>
      <c r="AC194" s="209">
        <f t="shared" ca="1" si="34"/>
        <v>8.1375000000000003E-2</v>
      </c>
      <c r="AD194" s="118">
        <f t="shared" ca="1" si="35"/>
        <v>0</v>
      </c>
      <c r="AE194" s="118">
        <f t="shared" ca="1" si="36"/>
        <v>8.1375000000000003E-2</v>
      </c>
      <c r="AF194" s="118">
        <f t="shared" ca="1" si="28"/>
        <v>-0.19357739507299515</v>
      </c>
      <c r="AG194" s="118">
        <f t="shared" ca="1" si="29"/>
        <v>-49.590764612797159</v>
      </c>
      <c r="AH194" s="204">
        <f t="shared" ca="1" si="37"/>
        <v>-4.0354484703663687</v>
      </c>
      <c r="AI194" s="259"/>
    </row>
    <row r="195" spans="5:35" x14ac:dyDescent="0.2">
      <c r="K195" s="218" t="s">
        <v>240</v>
      </c>
      <c r="L195" s="146"/>
      <c r="M195" s="318">
        <f>rF1.PositioningLineLoad</f>
        <v>0</v>
      </c>
      <c r="N195" s="318">
        <f>rF1.PositioningLineLoad</f>
        <v>0</v>
      </c>
      <c r="O195" s="318">
        <f>rF1.PositioningLineLoad</f>
        <v>0</v>
      </c>
      <c r="P195" s="318">
        <f>rF1.PositioningLineLoad</f>
        <v>0</v>
      </c>
      <c r="Q195" s="319"/>
      <c r="R195" s="403"/>
      <c r="S195" s="155"/>
      <c r="T195" s="238">
        <v>0.94</v>
      </c>
      <c r="U195" s="209">
        <f t="shared" ca="1" si="26"/>
        <v>297.22799999999995</v>
      </c>
      <c r="V195" s="118">
        <f t="shared" ca="1" si="30"/>
        <v>1.8480000000000024E-2</v>
      </c>
      <c r="W195" s="204">
        <f t="shared" ca="1" si="31"/>
        <v>5.4927734400000059</v>
      </c>
      <c r="Y195" s="209">
        <f t="shared" ca="1" si="27"/>
        <v>297.22799999999995</v>
      </c>
      <c r="Z195" s="118">
        <f t="shared" ca="1" si="32"/>
        <v>1.8480000000000024E-2</v>
      </c>
      <c r="AA195" s="204">
        <f t="shared" ca="1" si="33"/>
        <v>5.4927734400000059</v>
      </c>
      <c r="AC195" s="209">
        <f t="shared" ca="1" si="34"/>
        <v>8.224999999999999E-2</v>
      </c>
      <c r="AD195" s="118">
        <f t="shared" ca="1" si="35"/>
        <v>0</v>
      </c>
      <c r="AE195" s="118">
        <f t="shared" ca="1" si="36"/>
        <v>8.224999999999999E-2</v>
      </c>
      <c r="AF195" s="118">
        <f t="shared" ca="1" si="28"/>
        <v>-0.20497739507299501</v>
      </c>
      <c r="AG195" s="118">
        <f t="shared" ca="1" si="29"/>
        <v>-52.511222946130445</v>
      </c>
      <c r="AH195" s="204">
        <f t="shared" ca="1" si="37"/>
        <v>-4.3190480873192287</v>
      </c>
      <c r="AI195" s="259"/>
    </row>
    <row r="196" spans="5:35" x14ac:dyDescent="0.2">
      <c r="K196" s="142" t="s">
        <v>299</v>
      </c>
      <c r="L196" s="142"/>
      <c r="M196" s="143" t="s">
        <v>259</v>
      </c>
      <c r="N196" s="143" t="s">
        <v>260</v>
      </c>
      <c r="O196" s="143" t="s">
        <v>261</v>
      </c>
      <c r="P196" s="143"/>
      <c r="Q196" s="192"/>
      <c r="R196" s="403"/>
      <c r="S196" s="155"/>
      <c r="T196" s="238">
        <v>0.95</v>
      </c>
      <c r="U196" s="209">
        <f t="shared" ref="U196:U202" ca="1" si="38">IF(rF1.CheckWoodenSlabCalc,0,rF1.PlotAxForceFactor*rF1.PlotAxResistanceMaxTop)</f>
        <v>300.39</v>
      </c>
      <c r="V196" s="118">
        <f t="shared" ca="1" si="30"/>
        <v>1.7400000000000013E-2</v>
      </c>
      <c r="W196" s="204">
        <f t="shared" ca="1" si="31"/>
        <v>5.2267860000000033</v>
      </c>
      <c r="Y196" s="209">
        <f t="shared" ref="Y196:Y202" ca="1" si="39">IF(rF1.CheckWoodenSlabCalc,0,rF1.PlotAxForceFactor*rF1.PlotAxResistanceMaxBottom)</f>
        <v>300.39</v>
      </c>
      <c r="Z196" s="118">
        <f t="shared" ca="1" si="32"/>
        <v>1.7400000000000013E-2</v>
      </c>
      <c r="AA196" s="204">
        <f t="shared" ca="1" si="33"/>
        <v>5.2267860000000033</v>
      </c>
      <c r="AC196" s="209">
        <f t="shared" ca="1" si="34"/>
        <v>8.3124999999999991E-2</v>
      </c>
      <c r="AD196" s="118">
        <f t="shared" ca="1" si="35"/>
        <v>0</v>
      </c>
      <c r="AE196" s="118">
        <f t="shared" ca="1" si="36"/>
        <v>8.3124999999999991E-2</v>
      </c>
      <c r="AF196" s="118">
        <f t="shared" ref="AF196:AF202" ca="1" si="40">MIN(1.14*(1-2*rF1.PlotExcentricityTotalMiddle/rF1.WallThickness02)-0.024*rF1.WallHeightEffective/rF1.WallThickness02,1-2*rF1.PlotExcentricityTotalMiddle/rF1.WallThickness02)</f>
        <v>-0.21637739507299503</v>
      </c>
      <c r="AG196" s="118">
        <f t="shared" ref="AG196:AG201" ca="1" si="41">IF(rF1.CheckWoodenSlabCalc,0,rF1.PlotReductionParameterMiddle*rF1.WallThickness02*rF1.ReductionMasonryStrenghtArea02*rF1.ReductionMasonryStrengthLongTerm*rF1.MasonryStrenghtChar02/rF1.SafetyFactorMaterial02*1000)</f>
        <v>-55.431681279463788</v>
      </c>
      <c r="AH196" s="204">
        <f t="shared" ca="1" si="37"/>
        <v>-4.6077585063554265</v>
      </c>
      <c r="AI196" s="259"/>
    </row>
    <row r="197" spans="5:35" ht="15.75" x14ac:dyDescent="0.2">
      <c r="K197" s="146" t="s">
        <v>242</v>
      </c>
      <c r="L197" s="146" t="s">
        <v>62</v>
      </c>
      <c r="M197" s="248">
        <f>rF1.WallAxForceDeadTop</f>
        <v>825</v>
      </c>
      <c r="N197" s="248">
        <f>rF1.WallAxForceLiveTop</f>
        <v>313.5</v>
      </c>
      <c r="O197" s="257">
        <f>rF1.WallAxForceTop</f>
        <v>379.5</v>
      </c>
      <c r="P197" s="131"/>
      <c r="Q197" s="131"/>
      <c r="R197" s="403"/>
      <c r="S197" s="155"/>
      <c r="T197" s="238">
        <v>0.96</v>
      </c>
      <c r="U197" s="209">
        <f t="shared" ca="1" si="38"/>
        <v>303.55199999999996</v>
      </c>
      <c r="V197" s="118">
        <f t="shared" ca="1" si="30"/>
        <v>1.6320000000000015E-2</v>
      </c>
      <c r="W197" s="204">
        <f t="shared" ref="W197:W202" ca="1" si="42">rF1.PlotAxForceTop*rF1.PlotExcentricityTop</f>
        <v>4.9539686400000038</v>
      </c>
      <c r="Y197" s="209">
        <f t="shared" ca="1" si="39"/>
        <v>303.55199999999996</v>
      </c>
      <c r="Z197" s="118">
        <f t="shared" ca="1" si="32"/>
        <v>1.6320000000000015E-2</v>
      </c>
      <c r="AA197" s="204">
        <f t="shared" ref="AA197:AA202" ca="1" si="43">rF1.PlotAxForceBottom*rF1.PlotExcentricityBottom</f>
        <v>4.9539686400000038</v>
      </c>
      <c r="AC197" s="209">
        <f t="shared" ca="1" si="34"/>
        <v>8.3999999999999991E-2</v>
      </c>
      <c r="AD197" s="118">
        <f t="shared" ref="AD197:AD202" ca="1" si="44">IF(rF1.WallSlenderness02&lt;=rP1.MaxSlendernessCreepEcc,0,0.002*rP1.CreepCoefficient*rF1.WallHeightBuckling/rF1.WallHeight02*SQRT(rF1.WallHeight02*rF1.PlotExcentricityLoadMiddle))</f>
        <v>0</v>
      </c>
      <c r="AE197" s="118">
        <f t="shared" ref="AE197:AE202" ca="1" si="45">MAX(rF1.PlotExcentricityCreepMiddle+rF1.PlotExcentricityLoadMiddle,0.05*rF1.WallThickness02)</f>
        <v>8.3999999999999991E-2</v>
      </c>
      <c r="AF197" s="118">
        <f t="shared" ca="1" si="40"/>
        <v>-0.22777739507299505</v>
      </c>
      <c r="AG197" s="118">
        <f t="shared" ca="1" si="41"/>
        <v>-58.352139612797124</v>
      </c>
      <c r="AH197" s="204">
        <f t="shared" ref="AH197:AH202" ca="1" si="46">rF1.PlotExcentricityTotalMiddle*rF1.PlotAxForceMiddle</f>
        <v>-4.9015797274749575</v>
      </c>
      <c r="AI197" s="259"/>
    </row>
    <row r="198" spans="5:35" ht="15.75" x14ac:dyDescent="0.2">
      <c r="K198" s="266" t="s">
        <v>243</v>
      </c>
      <c r="L198" s="266" t="s">
        <v>33</v>
      </c>
      <c r="M198" s="349">
        <f ca="1">rF1.WallAxForceDeadMiddle</f>
        <v>1150.3223069062501</v>
      </c>
      <c r="N198" s="349">
        <f>rF1.WallAxForceLiveMiddle</f>
        <v>313.5</v>
      </c>
      <c r="O198" s="350">
        <f ca="1">rF1.WallAxForceMiddle</f>
        <v>383.44076896875004</v>
      </c>
      <c r="P198" s="351"/>
      <c r="Q198" s="351"/>
      <c r="S198" s="155"/>
      <c r="T198" s="238">
        <v>0.97</v>
      </c>
      <c r="U198" s="209">
        <f t="shared" ca="1" si="38"/>
        <v>306.714</v>
      </c>
      <c r="V198" s="118">
        <f t="shared" ca="1" si="30"/>
        <v>1.5240000000000004E-2</v>
      </c>
      <c r="W198" s="204">
        <f t="shared" ca="1" si="42"/>
        <v>4.6743213600000013</v>
      </c>
      <c r="Y198" s="209">
        <f t="shared" ca="1" si="39"/>
        <v>306.714</v>
      </c>
      <c r="Z198" s="118">
        <f t="shared" ca="1" si="32"/>
        <v>1.5240000000000004E-2</v>
      </c>
      <c r="AA198" s="204">
        <f t="shared" ca="1" si="43"/>
        <v>4.6743213600000013</v>
      </c>
      <c r="AC198" s="209">
        <f t="shared" ca="1" si="34"/>
        <v>8.4874999999999992E-2</v>
      </c>
      <c r="AD198" s="118">
        <f t="shared" ca="1" si="44"/>
        <v>0</v>
      </c>
      <c r="AE198" s="118">
        <f t="shared" ca="1" si="45"/>
        <v>8.4874999999999992E-2</v>
      </c>
      <c r="AF198" s="118">
        <f t="shared" ca="1" si="40"/>
        <v>-0.23917739507299504</v>
      </c>
      <c r="AG198" s="118">
        <f t="shared" ca="1" si="41"/>
        <v>-61.272597946130453</v>
      </c>
      <c r="AH198" s="204">
        <f t="shared" ca="1" si="46"/>
        <v>-5.2005117506778218</v>
      </c>
      <c r="AI198" s="259"/>
    </row>
    <row r="199" spans="5:35" ht="15.75" x14ac:dyDescent="0.2">
      <c r="K199" s="146" t="s">
        <v>244</v>
      </c>
      <c r="L199" s="146" t="s">
        <v>34</v>
      </c>
      <c r="M199" s="248">
        <f ca="1">rF1.WallAxForceDeadBottom</f>
        <v>1162.1446138125</v>
      </c>
      <c r="N199" s="248">
        <f>rF1.WallAxForceLiveBottom</f>
        <v>313.5</v>
      </c>
      <c r="O199" s="257">
        <f ca="1">rF1.WallAxForceBottom</f>
        <v>387.38153793750001</v>
      </c>
      <c r="P199" s="131"/>
      <c r="Q199" s="131"/>
      <c r="S199" s="155"/>
      <c r="T199" s="238">
        <v>0.98</v>
      </c>
      <c r="U199" s="209">
        <f t="shared" ca="1" si="38"/>
        <v>309.87599999999998</v>
      </c>
      <c r="V199" s="118">
        <f t="shared" ca="1" si="30"/>
        <v>1.4160000000000006E-2</v>
      </c>
      <c r="W199" s="204">
        <f t="shared" ca="1" si="42"/>
        <v>4.3878441600000011</v>
      </c>
      <c r="Y199" s="209">
        <f t="shared" ca="1" si="39"/>
        <v>309.87599999999998</v>
      </c>
      <c r="Z199" s="118">
        <f t="shared" ca="1" si="32"/>
        <v>1.4160000000000006E-2</v>
      </c>
      <c r="AA199" s="204">
        <f t="shared" ca="1" si="43"/>
        <v>4.3878441600000011</v>
      </c>
      <c r="AC199" s="209">
        <f t="shared" ca="1" si="34"/>
        <v>8.5749999999999993E-2</v>
      </c>
      <c r="AD199" s="118">
        <f t="shared" ca="1" si="44"/>
        <v>0</v>
      </c>
      <c r="AE199" s="118">
        <f t="shared" ca="1" si="45"/>
        <v>8.5749999999999993E-2</v>
      </c>
      <c r="AF199" s="118">
        <f t="shared" ca="1" si="40"/>
        <v>-0.25057739507299504</v>
      </c>
      <c r="AG199" s="118">
        <f t="shared" ca="1" si="41"/>
        <v>-64.193056279463804</v>
      </c>
      <c r="AH199" s="204">
        <f t="shared" ca="1" si="46"/>
        <v>-5.5045545759640211</v>
      </c>
      <c r="AI199" s="259"/>
    </row>
    <row r="200" spans="5:35" x14ac:dyDescent="0.2">
      <c r="K200" s="142" t="s">
        <v>300</v>
      </c>
      <c r="L200" s="142"/>
      <c r="M200" s="143"/>
      <c r="N200" s="143"/>
      <c r="O200" s="143"/>
      <c r="P200" s="143"/>
      <c r="Q200" s="192"/>
      <c r="S200" s="155"/>
      <c r="T200" s="238">
        <v>0.99</v>
      </c>
      <c r="U200" s="209">
        <f t="shared" ca="1" si="38"/>
        <v>313.03800000000001</v>
      </c>
      <c r="V200" s="118">
        <f t="shared" ca="1" si="30"/>
        <v>1.3079999999999994E-2</v>
      </c>
      <c r="W200" s="204">
        <f t="shared" ca="1" si="42"/>
        <v>4.0945370399999987</v>
      </c>
      <c r="Y200" s="209">
        <f t="shared" ca="1" si="39"/>
        <v>313.03800000000001</v>
      </c>
      <c r="Z200" s="118">
        <f t="shared" ca="1" si="32"/>
        <v>1.3079999999999994E-2</v>
      </c>
      <c r="AA200" s="204">
        <f t="shared" ca="1" si="43"/>
        <v>4.0945370399999987</v>
      </c>
      <c r="AC200" s="209">
        <f t="shared" ca="1" si="34"/>
        <v>8.6624999999999994E-2</v>
      </c>
      <c r="AD200" s="118">
        <f t="shared" ca="1" si="44"/>
        <v>0</v>
      </c>
      <c r="AE200" s="118">
        <f t="shared" ca="1" si="45"/>
        <v>8.6624999999999994E-2</v>
      </c>
      <c r="AF200" s="118">
        <f t="shared" ca="1" si="40"/>
        <v>-0.26197739507299506</v>
      </c>
      <c r="AG200" s="118">
        <f t="shared" ca="1" si="41"/>
        <v>-67.113514612797147</v>
      </c>
      <c r="AH200" s="204">
        <f t="shared" ca="1" si="46"/>
        <v>-5.8137082033335528</v>
      </c>
      <c r="AI200" s="259"/>
    </row>
    <row r="201" spans="5:35" ht="15.75" x14ac:dyDescent="0.2">
      <c r="K201" s="146" t="s">
        <v>245</v>
      </c>
      <c r="L201" s="146" t="s">
        <v>35</v>
      </c>
      <c r="M201" s="228">
        <f>rF1.WindLoadDesign</f>
        <v>0.96</v>
      </c>
      <c r="N201" s="146"/>
      <c r="O201" s="131"/>
      <c r="P201" s="131"/>
      <c r="Q201" s="131"/>
      <c r="S201" s="155"/>
      <c r="T201" s="238">
        <v>1</v>
      </c>
      <c r="U201" s="209">
        <f t="shared" ca="1" si="38"/>
        <v>316.2</v>
      </c>
      <c r="V201" s="118">
        <f t="shared" ca="1" si="30"/>
        <v>1.2000000000000011E-2</v>
      </c>
      <c r="W201" s="204">
        <f t="shared" ca="1" si="42"/>
        <v>3.7944000000000031</v>
      </c>
      <c r="Y201" s="209">
        <f t="shared" ca="1" si="39"/>
        <v>316.2</v>
      </c>
      <c r="Z201" s="118">
        <f t="shared" ca="1" si="32"/>
        <v>1.2000000000000011E-2</v>
      </c>
      <c r="AA201" s="204">
        <f t="shared" ca="1" si="43"/>
        <v>3.7944000000000031</v>
      </c>
      <c r="AC201" s="209">
        <f t="shared" ca="1" si="34"/>
        <v>8.7499999999999994E-2</v>
      </c>
      <c r="AD201" s="118">
        <f t="shared" ca="1" si="44"/>
        <v>0</v>
      </c>
      <c r="AE201" s="118">
        <f t="shared" ca="1" si="45"/>
        <v>8.7499999999999994E-2</v>
      </c>
      <c r="AF201" s="118">
        <f t="shared" ca="1" si="40"/>
        <v>-0.27337739507299508</v>
      </c>
      <c r="AG201" s="118">
        <f t="shared" ca="1" si="41"/>
        <v>-70.033972946130476</v>
      </c>
      <c r="AH201" s="204">
        <f t="shared" ca="1" si="46"/>
        <v>-6.1279726327864159</v>
      </c>
      <c r="AI201" s="259"/>
    </row>
    <row r="202" spans="5:35" x14ac:dyDescent="0.2">
      <c r="K202" s="140" t="s">
        <v>301</v>
      </c>
      <c r="L202" s="140"/>
      <c r="M202" s="140"/>
      <c r="N202" s="140"/>
      <c r="O202" s="140"/>
      <c r="P202" s="140"/>
      <c r="Q202" s="141"/>
      <c r="S202" s="155"/>
      <c r="T202" s="211">
        <v>1</v>
      </c>
      <c r="U202" s="191">
        <f t="shared" ca="1" si="38"/>
        <v>316.2</v>
      </c>
      <c r="V202" s="168">
        <v>0</v>
      </c>
      <c r="W202" s="190">
        <f t="shared" ca="1" si="42"/>
        <v>0</v>
      </c>
      <c r="Y202" s="191">
        <f t="shared" ca="1" si="39"/>
        <v>316.2</v>
      </c>
      <c r="Z202" s="168">
        <v>0</v>
      </c>
      <c r="AA202" s="190">
        <f t="shared" ca="1" si="43"/>
        <v>0</v>
      </c>
      <c r="AC202" s="191">
        <v>0</v>
      </c>
      <c r="AD202" s="168">
        <f t="shared" ca="1" si="44"/>
        <v>0</v>
      </c>
      <c r="AE202" s="168">
        <f t="shared" ca="1" si="45"/>
        <v>8.7499999999999991E-3</v>
      </c>
      <c r="AF202" s="168">
        <f t="shared" ca="1" si="40"/>
        <v>0.75262260492700495</v>
      </c>
      <c r="AG202" s="168">
        <v>0</v>
      </c>
      <c r="AH202" s="190">
        <f t="shared" ca="1" si="46"/>
        <v>0</v>
      </c>
      <c r="AI202" s="259"/>
    </row>
    <row r="203" spans="5:35" ht="15" thickBot="1" x14ac:dyDescent="0.25">
      <c r="K203" s="142" t="s">
        <v>302</v>
      </c>
      <c r="L203" s="142"/>
      <c r="M203" s="143"/>
      <c r="N203" s="143"/>
      <c r="O203" s="143"/>
      <c r="P203" s="143"/>
      <c r="Q203" s="192"/>
      <c r="S203" s="219"/>
      <c r="T203" s="222"/>
      <c r="U203" s="222"/>
      <c r="V203" s="222"/>
      <c r="W203" s="222"/>
      <c r="X203" s="222"/>
      <c r="Y203" s="222"/>
      <c r="Z203" s="222"/>
      <c r="AA203" s="222"/>
      <c r="AB203" s="222"/>
      <c r="AC203" s="222"/>
      <c r="AD203" s="222"/>
      <c r="AE203" s="222"/>
      <c r="AF203" s="222"/>
      <c r="AG203" s="222"/>
      <c r="AH203" s="222"/>
      <c r="AI203" s="275"/>
    </row>
    <row r="204" spans="5:35" x14ac:dyDescent="0.2">
      <c r="K204" s="146" t="s">
        <v>303</v>
      </c>
      <c r="L204" s="146"/>
      <c r="M204" s="146"/>
      <c r="N204" s="146"/>
      <c r="O204" s="146"/>
      <c r="P204" s="146"/>
      <c r="Q204" s="146"/>
    </row>
    <row r="205" spans="5:35" ht="15.75" x14ac:dyDescent="0.2">
      <c r="E205" s="352"/>
      <c r="F205" s="352"/>
      <c r="K205" s="347" t="s">
        <v>304</v>
      </c>
      <c r="L205" s="266" t="s">
        <v>61</v>
      </c>
      <c r="M205" s="327">
        <f ca="1">IF(rF1.CheckWoodenSlab02,1,IF((rF1.WallStiffnessTop02+rF1.CalculatedStiffnessBottom03)=0,0.5,1-MIN((rF1.SlabStiffness02+rF1.SlabStiffness04)/(rF1.WallStiffnessTop02+rF1.CalculatedStiffnessBottom03),2)/4))</f>
        <v>0.5</v>
      </c>
      <c r="N205" s="343"/>
      <c r="O205" s="343"/>
      <c r="P205" s="343"/>
      <c r="Q205" s="347"/>
    </row>
    <row r="206" spans="5:35" ht="15.75" x14ac:dyDescent="0.2">
      <c r="E206" s="179"/>
      <c r="F206" s="179"/>
      <c r="K206" s="218" t="s">
        <v>305</v>
      </c>
      <c r="L206" s="146" t="s">
        <v>60</v>
      </c>
      <c r="M206" s="353">
        <f ca="1">IF(rF1.CheckWoodenSlab02,0,rF1.WallStiffnessTop02/(rF1.WallStiffnessTop02+rF1.CalculatedStiffnessBottom03+rF1.SlabStiffness02+rF1.SlabStiffness04)*(rF1.LoadStiffness02-rF1.LoadStiffness04)*rF1.MomentReductionTop)</f>
        <v>-0.5791532100669522</v>
      </c>
      <c r="N206" s="146"/>
      <c r="O206" s="218"/>
      <c r="P206" s="146"/>
      <c r="Q206" s="218"/>
    </row>
    <row r="207" spans="5:35" x14ac:dyDescent="0.2">
      <c r="E207" s="179"/>
      <c r="F207" s="179"/>
      <c r="K207" s="142" t="s">
        <v>307</v>
      </c>
      <c r="L207" s="142"/>
      <c r="M207" s="143"/>
      <c r="N207" s="143"/>
      <c r="O207" s="143"/>
      <c r="P207" s="143"/>
      <c r="Q207" s="192"/>
    </row>
    <row r="208" spans="5:35" x14ac:dyDescent="0.2">
      <c r="E208" s="179"/>
      <c r="F208" s="179"/>
      <c r="K208" s="146" t="s">
        <v>303</v>
      </c>
      <c r="L208" s="146"/>
      <c r="M208" s="326"/>
      <c r="N208" s="146"/>
      <c r="O208" s="146"/>
      <c r="P208" s="146"/>
      <c r="Q208" s="146"/>
      <c r="R208" s="402"/>
    </row>
    <row r="209" spans="3:18" ht="15.75" x14ac:dyDescent="0.2">
      <c r="E209" s="179"/>
      <c r="F209" s="179"/>
      <c r="K209" s="347" t="s">
        <v>304</v>
      </c>
      <c r="L209" s="266" t="s">
        <v>59</v>
      </c>
      <c r="M209" s="327">
        <f ca="1">IF(rF1.CheckWoodenSlab01,1,IF(OR(rF1.WallStiffnessBottom02+rF1.CalculatedStiffnessTop01=0,rF1.CheckFoundation,rF1.CheckBasePlate),0.5,1-MIN((rF1.SlabStiffness01+rF1.SlabStiffness03)/(rF1.WallStiffnessBottom02+rF1.CalculatedStiffnessTop01),2)/4))</f>
        <v>0.5</v>
      </c>
      <c r="N209" s="266"/>
      <c r="O209" s="347"/>
      <c r="P209" s="266"/>
      <c r="Q209" s="347"/>
      <c r="R209" s="405"/>
    </row>
    <row r="210" spans="3:18" ht="15.75" x14ac:dyDescent="0.2">
      <c r="E210" s="179"/>
      <c r="F210" s="179"/>
      <c r="K210" s="218" t="s">
        <v>308</v>
      </c>
      <c r="L210" s="146" t="s">
        <v>58</v>
      </c>
      <c r="M210" s="353">
        <f ca="1">IF(AND(OR(rF1.CheckFoundation,rF1.CheckBasePlate),INDEX(rF1.WallBearingTop,1,2)=4),rF1.BendingMomentDecTop,IF(OR(rF1.CheckFoundation,rF1.CheckBasePlate,rF1.CheckWoodenSlab01),0,rF1.WallStiffnessBottom02/(rF1.CalculatedStiffnessTop01+rF1.WallStiffnessBottom02+rF1.SlabStiffness01+rF1.SlabStiffness03)*(rF1.LoadStiffness03-rF1.LoadStiffness01)*rF1.MomentReductionBottom))</f>
        <v>-0.5791532100669522</v>
      </c>
      <c r="N210" s="146"/>
      <c r="O210" s="218"/>
      <c r="P210" s="146"/>
      <c r="Q210" s="218"/>
      <c r="R210" s="405"/>
    </row>
    <row r="211" spans="3:18" x14ac:dyDescent="0.2">
      <c r="K211" s="142" t="s">
        <v>309</v>
      </c>
      <c r="L211" s="142"/>
      <c r="M211" s="143"/>
      <c r="N211" s="143"/>
      <c r="O211" s="143"/>
      <c r="P211" s="143"/>
      <c r="Q211" s="192"/>
    </row>
    <row r="212" spans="3:18" ht="15.75" x14ac:dyDescent="0.2">
      <c r="K212" s="146" t="s">
        <v>310</v>
      </c>
      <c r="L212" s="146" t="s">
        <v>56</v>
      </c>
      <c r="M212" s="353">
        <f ca="1">(rF1.BendingMomentDecTop+rF1.BendingMomentDecBottom)/2</f>
        <v>-0.5791532100669522</v>
      </c>
      <c r="N212" s="146"/>
      <c r="O212" s="146"/>
      <c r="P212" s="146"/>
      <c r="Q212" s="146"/>
      <c r="R212" s="402"/>
    </row>
    <row r="213" spans="3:18" x14ac:dyDescent="0.2">
      <c r="K213" s="142" t="s">
        <v>311</v>
      </c>
      <c r="L213" s="142"/>
      <c r="M213" s="143"/>
      <c r="N213" s="143"/>
      <c r="O213" s="143"/>
      <c r="P213" s="143"/>
      <c r="Q213" s="192"/>
      <c r="R213" s="405"/>
    </row>
    <row r="214" spans="3:18" ht="15.75" x14ac:dyDescent="0.2">
      <c r="C214" s="194">
        <v>1</v>
      </c>
      <c r="F214" s="194">
        <f ca="1">OFFSET(rL3.Knoten,rF1.AufteilungMomenteWindSelection,rF1.ColumnPlacementFactor,1,1)</f>
        <v>-6.25E-2</v>
      </c>
      <c r="K214" s="146" t="s">
        <v>312</v>
      </c>
      <c r="L214" s="146" t="s">
        <v>181</v>
      </c>
      <c r="M214" s="353">
        <f ca="1">ABS(rF1.WindLoadDesign)*rF1.WallHeight02^2*rF1.WindMomentFactor*rF1.SlabInfluenceWidth/rF1.WallLenght02</f>
        <v>-0.52470187499999998</v>
      </c>
      <c r="N214" s="353"/>
      <c r="O214" s="353"/>
      <c r="P214" s="146"/>
      <c r="Q214" s="146"/>
      <c r="R214" s="405"/>
    </row>
    <row r="215" spans="3:18" ht="15.75" x14ac:dyDescent="0.2">
      <c r="C215" s="308">
        <v>2</v>
      </c>
      <c r="F215" s="308">
        <f ca="1">OFFSET(rL3.Knoten,rF1.AufteilungMomenteWindSelection,rF1.ColumnPlacementFactor,1,1)</f>
        <v>6.25E-2</v>
      </c>
      <c r="K215" s="266" t="s">
        <v>313</v>
      </c>
      <c r="L215" s="266" t="s">
        <v>55</v>
      </c>
      <c r="M215" s="345">
        <f ca="1">ABS(rF1.WindLoadDesign)*rF1.WallHeight02^2*rF1.WindMomentFactor*rF1.SlabInfluenceWidth/rF1.WallLenght02</f>
        <v>0.52470187499999998</v>
      </c>
      <c r="N215" s="345"/>
      <c r="O215" s="345"/>
      <c r="P215" s="266"/>
      <c r="Q215" s="347"/>
    </row>
    <row r="216" spans="3:18" ht="15.75" x14ac:dyDescent="0.2">
      <c r="C216" s="313">
        <v>3</v>
      </c>
      <c r="F216" s="313">
        <f ca="1">OFFSET(rL3.Knoten,rF1.AufteilungMomenteWindSelection,rF1.ColumnPlacementFactor,1,1)</f>
        <v>-6.25E-2</v>
      </c>
      <c r="K216" s="146" t="s">
        <v>314</v>
      </c>
      <c r="L216" s="146" t="s">
        <v>180</v>
      </c>
      <c r="M216" s="353">
        <f ca="1">ABS(rF1.WindLoadDesign)*rF1.WallHeight02^2*rF1.WindMomentFactor*rF1.SlabInfluenceWidth/rF1.WallLenght02</f>
        <v>-0.52470187499999998</v>
      </c>
      <c r="N216" s="353"/>
      <c r="O216" s="353"/>
      <c r="P216" s="146"/>
      <c r="Q216" s="146"/>
      <c r="R216" s="402"/>
    </row>
    <row r="217" spans="3:18" x14ac:dyDescent="0.2">
      <c r="K217" s="140" t="s">
        <v>315</v>
      </c>
      <c r="L217" s="140"/>
      <c r="M217" s="140"/>
      <c r="N217" s="140"/>
      <c r="O217" s="140"/>
      <c r="P217" s="140"/>
      <c r="Q217" s="141"/>
    </row>
    <row r="218" spans="3:18" x14ac:dyDescent="0.2">
      <c r="K218" s="142" t="s">
        <v>316</v>
      </c>
      <c r="L218" s="142"/>
      <c r="M218" s="143"/>
      <c r="N218" s="143"/>
      <c r="O218" s="143"/>
      <c r="P218" s="143"/>
      <c r="Q218" s="192"/>
      <c r="R218" s="402"/>
    </row>
    <row r="219" spans="3:18" ht="15.75" x14ac:dyDescent="0.2">
      <c r="C219" s="308"/>
      <c r="K219" s="146" t="s">
        <v>242</v>
      </c>
      <c r="L219" s="146" t="s">
        <v>62</v>
      </c>
      <c r="M219" s="257">
        <f>rF1.WallAxForceTop</f>
        <v>379.5</v>
      </c>
      <c r="N219" s="146"/>
      <c r="O219" s="146"/>
      <c r="P219" s="146"/>
      <c r="Q219" s="146"/>
      <c r="R219" s="405"/>
    </row>
    <row r="220" spans="3:18" ht="15.75" x14ac:dyDescent="0.2">
      <c r="C220" s="308"/>
      <c r="K220" s="266" t="s">
        <v>306</v>
      </c>
      <c r="L220" s="266" t="s">
        <v>57</v>
      </c>
      <c r="M220" s="345">
        <f ca="1">rF1.BendingMomentDecTop</f>
        <v>-0.5791532100669522</v>
      </c>
      <c r="N220" s="266"/>
      <c r="O220" s="266"/>
      <c r="P220" s="266"/>
      <c r="Q220" s="266"/>
      <c r="R220" s="402"/>
    </row>
    <row r="221" spans="3:18" ht="15.75" x14ac:dyDescent="0.2">
      <c r="C221" s="308"/>
      <c r="K221" s="146" t="s">
        <v>317</v>
      </c>
      <c r="L221" s="146" t="s">
        <v>63</v>
      </c>
      <c r="M221" s="354">
        <f ca="1">IF(rF1.WallAxForceTop=0,0,ABS(rF1.BendingMomentDecTop/rF1.WallAxForceTop))</f>
        <v>1.526095415196185E-3</v>
      </c>
      <c r="N221" s="146"/>
      <c r="O221" s="146"/>
      <c r="P221" s="146"/>
      <c r="Q221" s="146"/>
    </row>
    <row r="222" spans="3:18" ht="15.75" x14ac:dyDescent="0.2">
      <c r="C222" s="308"/>
      <c r="K222" s="266" t="s">
        <v>318</v>
      </c>
      <c r="L222" s="266" t="s">
        <v>142</v>
      </c>
      <c r="M222" s="355">
        <f ca="1">IF(rF1.WallAxForceTop=0,0,ABS(rF1.MomentWindTop/rF1.WallAxForceTop))</f>
        <v>1.3826136363636362E-3</v>
      </c>
      <c r="N222" s="266"/>
      <c r="O222" s="266"/>
      <c r="P222" s="266"/>
      <c r="Q222" s="266"/>
    </row>
    <row r="223" spans="3:18" ht="15.75" x14ac:dyDescent="0.2">
      <c r="C223" s="308"/>
      <c r="K223" s="146" t="s">
        <v>319</v>
      </c>
      <c r="L223" s="146" t="s">
        <v>356</v>
      </c>
      <c r="M223" s="354">
        <f>IF(rF1.CheckBendingMomentSlabTop,rF1.EccentricitySlabLoadTop,0)</f>
        <v>0</v>
      </c>
      <c r="N223" s="146"/>
      <c r="O223" s="146"/>
      <c r="P223" s="146"/>
      <c r="Q223" s="146"/>
      <c r="R223" s="402"/>
    </row>
    <row r="224" spans="3:18" ht="15.75" x14ac:dyDescent="0.2">
      <c r="C224" s="308"/>
      <c r="K224" s="266" t="s">
        <v>320</v>
      </c>
      <c r="L224" s="266" t="s">
        <v>64</v>
      </c>
      <c r="M224" s="355">
        <f>0</f>
        <v>0</v>
      </c>
      <c r="N224" s="266"/>
      <c r="O224" s="266"/>
      <c r="P224" s="266"/>
      <c r="Q224" s="266"/>
      <c r="R224" s="402"/>
    </row>
    <row r="225" spans="3:18" ht="15.75" x14ac:dyDescent="0.2">
      <c r="C225" s="308"/>
      <c r="F225" s="145">
        <f ca="1">rF1.EccentricitySlabTop+rF1.EccentricityWindTop+rF1.EccentricityGeoTop+rF1.EccentricityInitialTop</f>
        <v>2.9087090515598213E-3</v>
      </c>
      <c r="G225" s="145">
        <f ca="1">(rF1.BearingDepthTop02-rF1.WallAxForceTop/(rF1.ReductionMasonryStrenghtArea02*rF1.ReductionMasonryStrengthLongTerm*rF1.MasonryStrenghtChar02*1000/rF1.SafetyFactorMaterial02))/2</f>
        <v>-9.6204933586337693E-3</v>
      </c>
      <c r="K225" s="170" t="s">
        <v>555</v>
      </c>
      <c r="L225" s="170" t="s">
        <v>369</v>
      </c>
      <c r="M225" s="356">
        <f ca="1">MAX(IF(rF1.WallAxForceTop/(rF1.ReductionMasonryStrenghtArea02*rF1.ReductionMasonryStrengthLongTerm*rF1.MasonryStrenghtChar02*1000/rF1.SafetyFactorMaterial02)&lt;0.333*rF1.BearingDepthTop02,MIN(rF1.EccentricityTopReg,rF1.EccentricityTopAC5),rF1.EccentricityTopReg),0.05*rF1.BearingDepthTop02)</f>
        <v>1.2E-2</v>
      </c>
      <c r="N225" s="357" t="str">
        <f ca="1">IF(rF1.EccentricityTotalTop=rF1.EccentricityTopAC5,rP2.OutputEccentricityAnnexC5,IF(rF1.EccentricityTotalTop=0.05*rF1.BearingDepthTop02,rP2.OutputSmallEccentricity,""))</f>
        <v>0,05 · a maßgebend</v>
      </c>
      <c r="O225" s="146"/>
      <c r="P225" s="146"/>
      <c r="Q225" s="146"/>
      <c r="R225" s="402"/>
    </row>
    <row r="226" spans="3:18" ht="15.75" x14ac:dyDescent="0.2">
      <c r="C226" s="308"/>
      <c r="K226" s="311" t="s">
        <v>371</v>
      </c>
      <c r="L226" s="311" t="s">
        <v>370</v>
      </c>
      <c r="M226" s="358">
        <f ca="1">MAX((rF1.EccentricitySlabTop+rF1.EccentricityWindTop+rF1.EccentricityGeoTop+rF1.EccentricityInitialTop),0.05*rF1.BearingDepthTop02)-rF1.EccentricityTotalTop</f>
        <v>0</v>
      </c>
      <c r="N226" s="359"/>
      <c r="O226" s="266"/>
      <c r="P226" s="266"/>
      <c r="Q226" s="266"/>
      <c r="R226" s="402"/>
    </row>
    <row r="227" spans="3:18" ht="15.75" x14ac:dyDescent="0.2">
      <c r="C227" s="308"/>
      <c r="K227" s="146" t="s">
        <v>250</v>
      </c>
      <c r="L227" s="335" t="s">
        <v>65</v>
      </c>
      <c r="M227" s="360">
        <f ca="1">MAX(1-2*rF1.EccentricityTotalTop/rF1.BearingDepthTop02,0)</f>
        <v>0.9</v>
      </c>
      <c r="N227" s="335"/>
      <c r="O227" s="146"/>
      <c r="P227" s="335"/>
      <c r="Q227" s="146"/>
      <c r="R227" s="402"/>
    </row>
    <row r="228" spans="3:18" x14ac:dyDescent="0.2">
      <c r="C228" s="308"/>
      <c r="K228" s="278" t="s">
        <v>251</v>
      </c>
      <c r="L228" s="278" t="s">
        <v>593</v>
      </c>
      <c r="M228" s="361">
        <f ca="1">rF1.ReductionEccentricityTop*rF1.ReductionMasonryStrenghtArea02*rF1.ReductionMasonryStrengthLongTerm*rF1.MasonryStrenghtChar02*rF1.BearingDepthTop02/(rF1.SafetyFactorMaterial02)*1000</f>
        <v>316.2</v>
      </c>
      <c r="N228" s="278"/>
      <c r="O228" s="278"/>
      <c r="P228" s="278"/>
      <c r="Q228" s="278"/>
      <c r="R228" s="402"/>
    </row>
    <row r="229" spans="3:18" x14ac:dyDescent="0.2">
      <c r="C229" s="308"/>
      <c r="K229" s="276" t="s">
        <v>252</v>
      </c>
      <c r="L229" s="282" t="s">
        <v>532</v>
      </c>
      <c r="M229" s="288">
        <f ca="1">IF(rF1.AxResistanceTop=0,"Inf.",rF1.WallAxForceTop/rF1.AxResistanceTop)</f>
        <v>1.2001897533206831</v>
      </c>
      <c r="N229" s="282"/>
      <c r="O229" s="276"/>
      <c r="P229" s="282"/>
      <c r="Q229" s="276"/>
      <c r="R229" s="402"/>
    </row>
    <row r="230" spans="3:18" ht="15.75" x14ac:dyDescent="0.2">
      <c r="C230" s="308"/>
      <c r="K230" s="266" t="s">
        <v>528</v>
      </c>
      <c r="L230" s="362" t="s">
        <v>533</v>
      </c>
      <c r="M230" s="327">
        <f ca="1">IF(OR(rF1.FireResNN,rF1.CheckFireResColumn),"-",IF(rF1.WallSlenderness02&lt;=rP1.LimitSlendernessKappa,15/(1.14-0.024*rF1.WallSlenderness02),(25-rF1.WallSlenderness02)/(1.14-0.024*rF1.WallSlenderness02)))</f>
        <v>15.703808241233419</v>
      </c>
      <c r="N230" s="279"/>
      <c r="O230" s="278"/>
      <c r="P230" s="279"/>
      <c r="Q230" s="278"/>
      <c r="R230" s="402"/>
    </row>
    <row r="231" spans="3:18" ht="15.75" x14ac:dyDescent="0.2">
      <c r="C231" s="308"/>
      <c r="G231" s="380">
        <f ca="1">IF(OR(rF1.FireResNN,rF1.CheckFireResColumn,rF1.CheckFireResManual02),"-",rF1.LoadFactorTopFireReduced*rF1.AxResistanceTop)</f>
        <v>265.64999999999998</v>
      </c>
      <c r="K231" s="170" t="s">
        <v>527</v>
      </c>
      <c r="L231" s="284" t="s">
        <v>534</v>
      </c>
      <c r="M231" s="363">
        <f ca="1">IF(OR(rF1.FireResNN,rF1.CheckFireResColumn,rF1.CheckFireResManual02),"-",IF(rF1.AxResistanceTop=0,"Inf.",rF1.LoadFactorTop*0.7))</f>
        <v>0.84013282732447814</v>
      </c>
      <c r="N231" s="364">
        <f ca="1">IF(OR(rF1.FireResNN,rF1.CheckFireResColumn,rF1.CheckFireResManual02),"",rF1.LoadFactorTopFireReduced*rF1.AxResistanceTop)</f>
        <v>265.64999999999998</v>
      </c>
      <c r="O231" s="365"/>
      <c r="P231" s="366"/>
      <c r="Q231" s="365"/>
      <c r="R231" s="402"/>
    </row>
    <row r="232" spans="3:18" ht="15.75" x14ac:dyDescent="0.2">
      <c r="C232" s="308">
        <f ca="1">OFFSET(rL6.FireResClassList,rF1.FireResClassSelection-1,1,1,1)</f>
        <v>14</v>
      </c>
      <c r="G232" s="380">
        <f ca="1">IF(OR(rF1.FireResNN,rF1.CheckFireResColumn,rF1.CheckFireResManual02),"-",rF1.LoadFactorTopFireMax*rF1.AxResistanceTop)</f>
        <v>0</v>
      </c>
      <c r="K232" s="266" t="s">
        <v>525</v>
      </c>
      <c r="L232" s="286" t="s">
        <v>535</v>
      </c>
      <c r="M232" s="327">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0</v>
      </c>
      <c r="N232" s="367">
        <f ca="1">IF(OR(rF1.FireResNN,rF1.CheckFireResColumn,rF1.CheckFireResManual02),"",rF1.LoadFactorTopFireMax*rF1.AxResistanceTop)</f>
        <v>0</v>
      </c>
      <c r="O232" s="278"/>
      <c r="P232" s="279"/>
      <c r="Q232" s="278"/>
      <c r="R232" s="402"/>
    </row>
    <row r="233" spans="3:18" x14ac:dyDescent="0.2">
      <c r="C233" s="313"/>
      <c r="K233" s="365" t="s">
        <v>529</v>
      </c>
      <c r="L233" s="366" t="s">
        <v>536</v>
      </c>
      <c r="M233" s="368" t="str">
        <f ca="1">IF(rF1.FireResNN,rP2.OutputFireResNN,IF(OR(rF1.CheckFireResColumn,rF1.CheckFireResManual02),"-",IF(OR(rF1.LoadFactorTopFireMax=0,rF1.AxResistanceTop=0),"Inf.",rF1.LoadFactorTop*0.7/rF1.LoadFactorTopFireMax)))</f>
        <v>Inf.</v>
      </c>
      <c r="N233" s="365" t="str">
        <f ca="1">IF(rF1.CheckFireResManual02,rP2.OutputFireProofManual02,IF(rF1.CheckFireResColumn,rP2.FireProofManual,IF(rF1.LoadFactorTopFireMax=0,rP2.OutputFireResClassFail,"")))</f>
        <v>Für die gewählte Feuerwiderstandsklasse nicht geeignet!</v>
      </c>
      <c r="O233" s="365"/>
      <c r="P233" s="366"/>
      <c r="Q233" s="365"/>
      <c r="R233" s="402"/>
    </row>
    <row r="234" spans="3:18" x14ac:dyDescent="0.2">
      <c r="K234" s="142" t="s">
        <v>321</v>
      </c>
      <c r="L234" s="142"/>
      <c r="M234" s="143"/>
      <c r="N234" s="143"/>
      <c r="O234" s="143"/>
      <c r="P234" s="143"/>
      <c r="Q234" s="192"/>
      <c r="R234" s="406"/>
    </row>
    <row r="235" spans="3:18" ht="15.75" x14ac:dyDescent="0.2">
      <c r="C235" s="194"/>
      <c r="K235" s="146" t="s">
        <v>243</v>
      </c>
      <c r="L235" s="146" t="s">
        <v>33</v>
      </c>
      <c r="M235" s="257">
        <f ca="1">rF1.WallAxForceMiddle</f>
        <v>383.44076896875004</v>
      </c>
      <c r="N235" s="146"/>
      <c r="O235" s="146"/>
      <c r="P235" s="146"/>
      <c r="Q235" s="146"/>
      <c r="R235" s="406"/>
    </row>
    <row r="236" spans="3:18" ht="15.75" x14ac:dyDescent="0.2">
      <c r="C236" s="308"/>
      <c r="K236" s="266" t="s">
        <v>322</v>
      </c>
      <c r="L236" s="266" t="s">
        <v>66</v>
      </c>
      <c r="M236" s="355">
        <f ca="1">IF(OR(rF1.CheckBendingMomentSlabTop,rF1.CheckBendingMomentSlabBottom),(rF1.EccentricitySlabLoadTop+rF1.EccentricitySlabLoadBottom)/2,(2*rF1.WallThickness02-rF1.BearingDepthTop02-rF1.BearingDepthBottom02)/4)</f>
        <v>-3.2500000000000001E-2</v>
      </c>
      <c r="N236" s="266"/>
      <c r="O236" s="266"/>
      <c r="P236" s="266"/>
      <c r="Q236" s="266"/>
      <c r="R236" s="406"/>
    </row>
    <row r="237" spans="3:18" ht="15.75" x14ac:dyDescent="0.2">
      <c r="C237" s="308"/>
      <c r="K237" s="170" t="s">
        <v>371</v>
      </c>
      <c r="L237" s="170" t="s">
        <v>372</v>
      </c>
      <c r="M237" s="356">
        <f ca="1">((rF1.EccentricityShiftC5Bottom*rF1.WallAxForceBottom-rF1.EccentricityShiftC5Top*rF1.WallAxForceTop)/2)/rF1.WallAxForceMiddle</f>
        <v>0</v>
      </c>
      <c r="N237" s="146"/>
      <c r="O237" s="146"/>
      <c r="P237" s="146"/>
      <c r="Q237" s="146"/>
      <c r="R237" s="407"/>
    </row>
    <row r="238" spans="3:18" ht="15.75" x14ac:dyDescent="0.2">
      <c r="C238" s="308"/>
      <c r="K238" s="266" t="s">
        <v>317</v>
      </c>
      <c r="L238" s="266" t="s">
        <v>67</v>
      </c>
      <c r="M238" s="355">
        <f ca="1">IF(rF1.WallAxForceMiddle=0,0,ABS(rF1.BendingMomentDecMiddle/rF1.WallAxForceMiddle))</f>
        <v>1.510411142833256E-3</v>
      </c>
      <c r="N238" s="266"/>
      <c r="O238" s="266"/>
      <c r="P238" s="266"/>
      <c r="Q238" s="266"/>
      <c r="R238" s="406"/>
    </row>
    <row r="239" spans="3:18" ht="15.75" x14ac:dyDescent="0.2">
      <c r="C239" s="308"/>
      <c r="K239" s="146" t="s">
        <v>318</v>
      </c>
      <c r="L239" s="146" t="s">
        <v>143</v>
      </c>
      <c r="M239" s="354">
        <f ca="1">IF(rF1.WallAxForceMiddle=0,0,ABS(rF1.MomentWindMiddle/rF1.WallAxForceMiddle))</f>
        <v>1.3684039816923134E-3</v>
      </c>
      <c r="N239" s="146"/>
      <c r="O239" s="146"/>
      <c r="P239" s="146"/>
      <c r="Q239" s="146"/>
      <c r="R239" s="407"/>
    </row>
    <row r="240" spans="3:18" ht="15.75" x14ac:dyDescent="0.2">
      <c r="C240" s="308"/>
      <c r="K240" s="266" t="s">
        <v>320</v>
      </c>
      <c r="L240" s="266" t="s">
        <v>64</v>
      </c>
      <c r="M240" s="355">
        <f ca="1">rF1.WallHeightBuckling/450</f>
        <v>4.4297263090531608E-3</v>
      </c>
      <c r="N240" s="266"/>
      <c r="O240" s="266"/>
      <c r="P240" s="266"/>
      <c r="Q240" s="266"/>
    </row>
    <row r="241" spans="1:35" ht="15.75" x14ac:dyDescent="0.2">
      <c r="C241" s="308"/>
      <c r="K241" s="170" t="s">
        <v>323</v>
      </c>
      <c r="L241" s="146" t="s">
        <v>68</v>
      </c>
      <c r="M241" s="354">
        <f ca="1">rF1.EccentricitySystemMiddle+rF1.EccentricityShiftC5Middle+rF1.EccentricitySlabMiddle+rF1.EccentricityWindMiddle+rF1.EccentricityInitialMiddle</f>
        <v>-2.5191458566421271E-2</v>
      </c>
      <c r="N241" s="369"/>
      <c r="O241" s="146"/>
      <c r="P241" s="146"/>
      <c r="Q241" s="146"/>
      <c r="R241" s="402"/>
    </row>
    <row r="242" spans="1:35" ht="15.75" x14ac:dyDescent="0.2">
      <c r="C242" s="308"/>
      <c r="K242" s="266" t="s">
        <v>324</v>
      </c>
      <c r="L242" s="266" t="s">
        <v>69</v>
      </c>
      <c r="M242" s="355">
        <f ca="1">IF(rF1.WallSlenderness02&lt;=rP1.MaxSlendernessCreepEcc,0,0.002*rP1.CreepCoefficient*rF1.WallHeightBuckling/rF1.WallThickness02*SQRT(rF1.WallThickness02*rF1.EccentricityLoadsMiddle))</f>
        <v>0</v>
      </c>
      <c r="N242" s="347" t="str">
        <f ca="1">IF(rF1.WallSlenderness02&lt;=rP1.MaxSlendernessCreepEcc,"λc ≤ "&amp;rP1.MaxSlendernessCreepEcc,"")</f>
        <v>λc ≤ 15</v>
      </c>
      <c r="O242" s="266"/>
      <c r="P242" s="266"/>
      <c r="Q242" s="266"/>
      <c r="R242" s="402"/>
    </row>
    <row r="243" spans="1:35" ht="15.75" x14ac:dyDescent="0.2">
      <c r="C243" s="308"/>
      <c r="K243" s="146" t="s">
        <v>325</v>
      </c>
      <c r="L243" s="146" t="s">
        <v>70</v>
      </c>
      <c r="M243" s="354">
        <f ca="1">MAX(rF1.EccentricityLoadsMiddle+rF1.EccentricityCreepMiddle,0.05*rF1.WallThickness02)</f>
        <v>8.7499999999999991E-3</v>
      </c>
      <c r="N243" s="218" t="str">
        <f ca="1">IF(rF1.EccentricityTotalMiddle=0.05*rF1.WallThickness02,rP2.OutputSmallEccentricityMiddle,"")</f>
        <v>0,05 · t maßgebend</v>
      </c>
      <c r="O243" s="146"/>
      <c r="P243" s="146"/>
      <c r="Q243" s="146"/>
      <c r="R243" s="402"/>
    </row>
    <row r="244" spans="1:35" ht="15.75" x14ac:dyDescent="0.2">
      <c r="C244" s="308"/>
      <c r="K244" s="266" t="s">
        <v>278</v>
      </c>
      <c r="L244" s="266" t="s">
        <v>71</v>
      </c>
      <c r="M244" s="370">
        <f ca="1">rF1.WallHeightEffective</f>
        <v>1.9933768390739224</v>
      </c>
      <c r="N244" s="266"/>
      <c r="O244" s="266"/>
      <c r="P244" s="266"/>
      <c r="Q244" s="266"/>
      <c r="R244" s="402"/>
    </row>
    <row r="245" spans="1:35" ht="15.75" x14ac:dyDescent="0.2">
      <c r="C245" s="308"/>
      <c r="F245" s="145">
        <f ca="1">MAX(1.14*(1-2*rF1.EccentricityTotalMiddle/rF1.WallThickness02)-0.024*rF1.WallHeightEffective/rF1.WallThickness02,0)</f>
        <v>0.75262260492700495</v>
      </c>
      <c r="G245" s="145">
        <f ca="1">MAX(1-2*rF1.EccentricityTotalMiddle/rF1.WallThickness02,0)</f>
        <v>0.9</v>
      </c>
      <c r="K245" s="146" t="s">
        <v>250</v>
      </c>
      <c r="L245" s="335" t="s">
        <v>72</v>
      </c>
      <c r="M245" s="360">
        <f ca="1">MIN(rF1.ReductionEccMiddle01,rF1.ReductionEccMiddle02)</f>
        <v>0.75262260492700495</v>
      </c>
      <c r="N245" s="335"/>
      <c r="O245" s="146"/>
      <c r="P245" s="335"/>
      <c r="Q245" s="146"/>
      <c r="R245" s="402"/>
    </row>
    <row r="246" spans="1:35" x14ac:dyDescent="0.2">
      <c r="C246" s="308"/>
      <c r="K246" s="278" t="s">
        <v>251</v>
      </c>
      <c r="L246" s="278" t="s">
        <v>592</v>
      </c>
      <c r="M246" s="361">
        <f ca="1">rF1.ReductionEccentricityMiddle*rF1.ReductionMasonryStrenghtArea02*rF1.ReductionMasonryStrengthLongTerm*rF1.MasonryStrenghtChar02*rF1.WallThickness02/rF1.SafetyFactorMaterial02*1000</f>
        <v>192.80727705386948</v>
      </c>
      <c r="N246" s="278"/>
      <c r="O246" s="278"/>
      <c r="P246" s="278"/>
      <c r="Q246" s="278"/>
      <c r="R246" s="402"/>
    </row>
    <row r="247" spans="1:35" x14ac:dyDescent="0.2">
      <c r="C247" s="308"/>
      <c r="K247" s="276" t="s">
        <v>252</v>
      </c>
      <c r="L247" s="282" t="s">
        <v>537</v>
      </c>
      <c r="M247" s="288">
        <f ca="1">IF(rF1.AxResistanceMiddle=0,"Inf.",rF1.WallAxForceMiddle/rF1.AxResistanceMiddle)</f>
        <v>1.9887256063557104</v>
      </c>
      <c r="N247" s="282"/>
      <c r="O247" s="276"/>
      <c r="P247" s="282"/>
      <c r="Q247" s="276"/>
      <c r="R247" s="402"/>
    </row>
    <row r="248" spans="1:35" ht="15.75" x14ac:dyDescent="0.2">
      <c r="C248" s="308"/>
      <c r="K248" s="266" t="s">
        <v>528</v>
      </c>
      <c r="L248" s="362" t="s">
        <v>538</v>
      </c>
      <c r="M248" s="327">
        <f ca="1">IF(OR(rF1.FireResNN,rF1.CheckFireResColumn),"-",IF(rF1.WallSlenderness02&lt;=rP1.LimitSlendernessKappa,15/(1.14-0.024*rF1.WallSlenderness02),(25-rF1.WallSlenderness02)/(1.14-0.024*rF1.WallSlenderness02)))</f>
        <v>15.703808241233419</v>
      </c>
      <c r="N248" s="279"/>
      <c r="O248" s="278"/>
      <c r="P248" s="279"/>
      <c r="Q248" s="278"/>
      <c r="R248" s="402"/>
    </row>
    <row r="249" spans="1:35" ht="15.75" x14ac:dyDescent="0.2">
      <c r="C249" s="308"/>
      <c r="G249" s="380">
        <f ca="1">IF(OR(rF1.FireResNN,rF1.CheckFireResColumn,rF1.CheckFireResManual02),"-",rF1.LoadFactorMiddleFireReduced*rF1.AxResistanceMiddle)</f>
        <v>268.40853827812498</v>
      </c>
      <c r="K249" s="170" t="s">
        <v>527</v>
      </c>
      <c r="L249" s="284" t="s">
        <v>539</v>
      </c>
      <c r="M249" s="363">
        <f ca="1">IF(OR(rF1.FireResNN,rF1.CheckFireResColumn,rF1.CheckFireResManual02),"-",IF(rF1.AxResistanceMiddle=0,"Inf.",rF1.LoadFactorMiddle*0.7))</f>
        <v>1.3921079244489971</v>
      </c>
      <c r="N249" s="364">
        <f ca="1">IF(OR(rF1.FireResNN,rF1.CheckFireResColumn,rF1.CheckFireResManual02),"",rF1.LoadFactorMiddleFireReduced*rF1.AxResistanceMiddle)</f>
        <v>268.40853827812498</v>
      </c>
      <c r="O249" s="365"/>
      <c r="P249" s="366"/>
      <c r="Q249" s="365"/>
      <c r="R249" s="402"/>
    </row>
    <row r="250" spans="1:35" ht="15.75" x14ac:dyDescent="0.2">
      <c r="C250" s="308">
        <f ca="1">OFFSET(rL6.FireResClassList,rF1.FireResClassSelection-1,1,1,1)</f>
        <v>14</v>
      </c>
      <c r="G250" s="380">
        <f ca="1">IF(OR(rF1.FireResNN,rF1.CheckFireResColumn,rF1.CheckFireResManual02),"-",rF1.LoadFactorMiddleFireMax*rF1.AxResistanceMiddle)</f>
        <v>0</v>
      </c>
      <c r="K250" s="266" t="s">
        <v>525</v>
      </c>
      <c r="L250" s="286" t="s">
        <v>540</v>
      </c>
      <c r="M250" s="327">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0</v>
      </c>
      <c r="N250" s="367">
        <f ca="1">IF(OR(rF1.FireResNN,rF1.CheckFireResColumn,rF1.CheckFireResManual02),"",rF1.LoadFactorMiddleFireMax*rF1.AxResistanceMiddle)</f>
        <v>0</v>
      </c>
      <c r="O250" s="278"/>
      <c r="P250" s="279"/>
      <c r="Q250" s="278"/>
      <c r="R250" s="402"/>
    </row>
    <row r="251" spans="1:35" x14ac:dyDescent="0.2">
      <c r="C251" s="313"/>
      <c r="K251" s="365" t="s">
        <v>529</v>
      </c>
      <c r="L251" s="366" t="s">
        <v>541</v>
      </c>
      <c r="M251" s="368" t="str">
        <f ca="1">IF(rF1.FireResNN,rP2.OutputFireResNN,IF(OR(rF1.CheckFireResColumn,rF1.CheckFireResManual02),"-",IF(OR(rF1.LoadFactorMiddleFireMax=0,rF1.AxResistanceMiddle=0),"Inf.",rF1.LoadFactorMiddle*0.7/rF1.LoadFactorMiddleFireMax)))</f>
        <v>Inf.</v>
      </c>
      <c r="N251" s="365" t="str">
        <f ca="1">IF(rF1.CheckFireResManual02,rP2.OutputFireProofManual02,IF(rF1.CheckFireResColumn,rP2.FireProofManual,IF(rF1.LoadFactorMiddleFireMax=0,rP2.OutputFireResClassFail,"")))</f>
        <v>Für die gewählte Feuerwiderstandsklasse nicht geeignet!</v>
      </c>
      <c r="O251" s="365"/>
      <c r="P251" s="366"/>
      <c r="Q251" s="365"/>
      <c r="R251" s="402"/>
    </row>
    <row r="252" spans="1:35" x14ac:dyDescent="0.2">
      <c r="K252" s="142" t="s">
        <v>326</v>
      </c>
      <c r="L252" s="142"/>
      <c r="M252" s="143"/>
      <c r="N252" s="143"/>
      <c r="O252" s="143"/>
      <c r="P252" s="143"/>
      <c r="Q252" s="192"/>
      <c r="R252" s="406"/>
    </row>
    <row r="253" spans="1:35" ht="15.75" x14ac:dyDescent="0.2">
      <c r="C253" s="194"/>
      <c r="K253" s="146" t="s">
        <v>244</v>
      </c>
      <c r="L253" s="146" t="s">
        <v>34</v>
      </c>
      <c r="M253" s="257">
        <f ca="1">rF1.WallAxForceBottom</f>
        <v>387.38153793750001</v>
      </c>
      <c r="N253" s="146"/>
      <c r="O253" s="146"/>
      <c r="P253" s="146"/>
      <c r="Q253" s="146"/>
      <c r="R253" s="406"/>
    </row>
    <row r="254" spans="1:35" ht="15.75" x14ac:dyDescent="0.2">
      <c r="C254" s="308"/>
      <c r="K254" s="266" t="s">
        <v>306</v>
      </c>
      <c r="L254" s="266" t="s">
        <v>57</v>
      </c>
      <c r="M254" s="345">
        <f ca="1">rF1.BendingMomentDecBottom</f>
        <v>-0.5791532100669522</v>
      </c>
      <c r="N254" s="266"/>
      <c r="O254" s="266"/>
      <c r="P254" s="266"/>
      <c r="Q254" s="266"/>
      <c r="R254" s="406"/>
    </row>
    <row r="255" spans="1:35" s="281" customFormat="1" ht="15.75" x14ac:dyDescent="0.2">
      <c r="A255" s="116"/>
      <c r="B255" s="116"/>
      <c r="C255" s="308"/>
      <c r="D255" s="116"/>
      <c r="E255" s="116"/>
      <c r="F255" s="116"/>
      <c r="G255" s="116"/>
      <c r="H255" s="116"/>
      <c r="I255" s="116"/>
      <c r="J255" s="116"/>
      <c r="K255" s="146" t="s">
        <v>317</v>
      </c>
      <c r="L255" s="146" t="s">
        <v>73</v>
      </c>
      <c r="M255" s="354">
        <f ca="1">IF(rF1.WallAxForceBottom=0,0,ABS(rF1.BendingMomentDecBottom/rF1.WallAxForceBottom))</f>
        <v>1.4950459775406038E-3</v>
      </c>
      <c r="N255" s="146"/>
      <c r="O255" s="146"/>
      <c r="P255" s="146"/>
      <c r="Q255" s="146"/>
      <c r="R255" s="407"/>
      <c r="T255" s="371"/>
      <c r="U255" s="371"/>
      <c r="V255" s="371"/>
      <c r="W255" s="371"/>
      <c r="X255" s="371"/>
      <c r="Y255" s="371"/>
      <c r="Z255" s="371"/>
      <c r="AA255" s="371"/>
      <c r="AB255" s="371"/>
      <c r="AC255" s="371"/>
      <c r="AD255" s="371"/>
      <c r="AE255" s="371"/>
      <c r="AF255" s="371"/>
      <c r="AG255" s="371"/>
      <c r="AH255" s="371"/>
      <c r="AI255" s="371"/>
    </row>
    <row r="256" spans="1:35" s="281" customFormat="1" ht="15.75" x14ac:dyDescent="0.2">
      <c r="A256" s="116"/>
      <c r="B256" s="116"/>
      <c r="C256" s="308"/>
      <c r="D256" s="116"/>
      <c r="E256" s="116"/>
      <c r="F256" s="116"/>
      <c r="G256" s="116"/>
      <c r="H256" s="116"/>
      <c r="I256" s="116"/>
      <c r="J256" s="116"/>
      <c r="K256" s="266" t="s">
        <v>318</v>
      </c>
      <c r="L256" s="266" t="s">
        <v>144</v>
      </c>
      <c r="M256" s="355">
        <f ca="1">IF(rF1.WallAxForceBottom=0,0,ABS(rF1.MomentWindBottom/rF1.WallAxForceBottom))</f>
        <v>1.3544834320025215E-3</v>
      </c>
      <c r="N256" s="266"/>
      <c r="O256" s="266"/>
      <c r="P256" s="266"/>
      <c r="Q256" s="266"/>
      <c r="R256" s="406"/>
      <c r="T256" s="371"/>
      <c r="U256" s="371"/>
      <c r="V256" s="371"/>
      <c r="W256" s="371"/>
      <c r="X256" s="371"/>
      <c r="Y256" s="371"/>
      <c r="Z256" s="371"/>
      <c r="AA256" s="371"/>
      <c r="AB256" s="371"/>
      <c r="AC256" s="371"/>
      <c r="AD256" s="371"/>
      <c r="AE256" s="371"/>
      <c r="AF256" s="371"/>
      <c r="AG256" s="371"/>
      <c r="AH256" s="371"/>
      <c r="AI256" s="371"/>
    </row>
    <row r="257" spans="1:35" s="281" customFormat="1" ht="15.75" x14ac:dyDescent="0.2">
      <c r="A257" s="116"/>
      <c r="B257" s="116"/>
      <c r="C257" s="308"/>
      <c r="D257" s="116"/>
      <c r="E257" s="116"/>
      <c r="F257" s="116"/>
      <c r="G257" s="116"/>
      <c r="H257" s="116"/>
      <c r="I257" s="116"/>
      <c r="J257" s="116"/>
      <c r="K257" s="146" t="s">
        <v>319</v>
      </c>
      <c r="L257" s="146" t="s">
        <v>357</v>
      </c>
      <c r="M257" s="354">
        <f>IF(rF1.CheckBendingMomentSlabBottom,ABS(rF1.EccentricitySlabLoadBottom),0)</f>
        <v>0</v>
      </c>
      <c r="N257" s="146"/>
      <c r="O257" s="146"/>
      <c r="P257" s="146"/>
      <c r="Q257" s="146"/>
      <c r="R257" s="407"/>
      <c r="T257" s="371"/>
      <c r="U257" s="371"/>
      <c r="V257" s="371"/>
      <c r="W257" s="371"/>
      <c r="X257" s="371"/>
      <c r="Y257" s="371"/>
      <c r="Z257" s="371"/>
      <c r="AA257" s="371"/>
      <c r="AB257" s="371"/>
      <c r="AC257" s="371"/>
      <c r="AD257" s="371"/>
      <c r="AE257" s="371"/>
      <c r="AF257" s="371"/>
      <c r="AG257" s="371"/>
      <c r="AH257" s="371"/>
      <c r="AI257" s="371"/>
    </row>
    <row r="258" spans="1:35" s="281" customFormat="1" ht="15.75" x14ac:dyDescent="0.2">
      <c r="A258" s="116"/>
      <c r="B258" s="116"/>
      <c r="C258" s="308"/>
      <c r="D258" s="116"/>
      <c r="E258" s="116"/>
      <c r="F258" s="116"/>
      <c r="G258" s="116"/>
      <c r="H258" s="116"/>
      <c r="I258" s="116"/>
      <c r="J258" s="116"/>
      <c r="K258" s="266" t="s">
        <v>320</v>
      </c>
      <c r="L258" s="266" t="s">
        <v>64</v>
      </c>
      <c r="M258" s="355">
        <f>0</f>
        <v>0</v>
      </c>
      <c r="N258" s="266"/>
      <c r="O258" s="266"/>
      <c r="P258" s="266"/>
      <c r="Q258" s="266"/>
      <c r="R258" s="400"/>
      <c r="T258" s="371"/>
      <c r="U258" s="371"/>
      <c r="V258" s="371"/>
      <c r="W258" s="371"/>
      <c r="X258" s="371"/>
      <c r="Y258" s="371"/>
      <c r="Z258" s="371"/>
      <c r="AA258" s="371"/>
      <c r="AB258" s="371"/>
      <c r="AC258" s="371"/>
      <c r="AD258" s="371"/>
      <c r="AE258" s="371"/>
      <c r="AF258" s="371"/>
      <c r="AG258" s="371"/>
      <c r="AH258" s="371"/>
      <c r="AI258" s="371"/>
    </row>
    <row r="259" spans="1:35" ht="15.75" x14ac:dyDescent="0.2">
      <c r="C259" s="308"/>
      <c r="F259" s="145">
        <f ca="1">rF1.EccentricitySlabBottom+rF1.EccentricityWindBottom+rF1.EccentricityGeoBottom+rF1.EccentricityInitialBottom</f>
        <v>2.8495294095431251E-3</v>
      </c>
      <c r="G259" s="145">
        <f ca="1">(rF1.BearingDepthBottom02-rF1.WallAxForceBottom/(rF1.ReductionMasonryStrenghtArea02*rF1.ReductionMasonryStrengthLongTerm*rF1.MasonryStrenghtChar02*1000/rF1.SafetyFactorMaterial02))/2</f>
        <v>-1.2312479750948763E-2</v>
      </c>
      <c r="K259" s="170" t="s">
        <v>556</v>
      </c>
      <c r="L259" s="146" t="s">
        <v>74</v>
      </c>
      <c r="M259" s="356">
        <f ca="1">MAX(IF(rF1.WallAxForceBottom/(rF1.ReductionMasonryStrenghtArea02*rF1.ReductionMasonryStrengthLongTerm*rF1.MasonryStrenghtChar02*1000/rF1.SafetyFactorMaterial02)&lt;0.333*rF1.BearingDepthBottom02,MIN(rF1.EccentricityBottomReg,rF1.EccentricityBottomAC5),rF1.EccentricityBottomReg),0.05*rF1.BearingDepthBottom02)</f>
        <v>1.2E-2</v>
      </c>
      <c r="N259" s="357" t="str">
        <f ca="1">IF(rF1.EccentricityTotalBottom=rF1.EccentricityBottomAC5,rP2.OutputEccentricityAnnexC5,IF(rF1.EccentricityTotalBottom=0.05*rF1.BearingDepthBottom02,rP2.OutputSmallEccentricity,""))</f>
        <v>0,05 · a maßgebend</v>
      </c>
      <c r="O259" s="146"/>
      <c r="P259" s="146"/>
      <c r="Q259" s="146"/>
      <c r="R259" s="402"/>
    </row>
    <row r="260" spans="1:35" ht="15.75" x14ac:dyDescent="0.2">
      <c r="C260" s="308"/>
      <c r="K260" s="311" t="s">
        <v>371</v>
      </c>
      <c r="L260" s="311" t="s">
        <v>373</v>
      </c>
      <c r="M260" s="358">
        <f ca="1">MAX((rF1.EccentricitySlabBottom+rF1.EccentricityWindBottom+rF1.EccentricityGeoBottom+rF1.EccentricityInitialBottom),0.05*rF1.BearingDepthBottom02)-rF1.EccentricityTotalBottom</f>
        <v>0</v>
      </c>
      <c r="N260" s="372"/>
      <c r="O260" s="266"/>
      <c r="P260" s="266"/>
      <c r="Q260" s="266"/>
      <c r="R260" s="402"/>
    </row>
    <row r="261" spans="1:35" ht="15.75" x14ac:dyDescent="0.2">
      <c r="C261" s="308"/>
      <c r="K261" s="146" t="s">
        <v>250</v>
      </c>
      <c r="L261" s="335" t="s">
        <v>75</v>
      </c>
      <c r="M261" s="360">
        <f ca="1">MAX(1-2*rF1.EccentricityTotalBottom/rF1.BearingDepthBottom02,0)</f>
        <v>0.9</v>
      </c>
      <c r="N261" s="335"/>
      <c r="O261" s="146"/>
      <c r="P261" s="335"/>
      <c r="Q261" s="146"/>
      <c r="R261" s="402"/>
    </row>
    <row r="262" spans="1:35" x14ac:dyDescent="0.2">
      <c r="C262" s="308"/>
      <c r="K262" s="278" t="s">
        <v>251</v>
      </c>
      <c r="L262" s="278" t="s">
        <v>591</v>
      </c>
      <c r="M262" s="361">
        <f ca="1">rF1.ReductionEccentricityBottom*rF1.ReductionMasonryStrenghtArea02*rF1.ReductionMasonryStrengthLongTerm*rF1.MasonryStrenghtChar02*rF1.BearingDepthBottom02/rF1.SafetyFactorMaterial02*1000</f>
        <v>316.2</v>
      </c>
      <c r="N262" s="278"/>
      <c r="O262" s="278"/>
      <c r="P262" s="278"/>
      <c r="Q262" s="278"/>
      <c r="R262" s="402"/>
    </row>
    <row r="263" spans="1:35" x14ac:dyDescent="0.2">
      <c r="C263" s="308"/>
      <c r="K263" s="276" t="s">
        <v>252</v>
      </c>
      <c r="L263" s="282" t="s">
        <v>542</v>
      </c>
      <c r="M263" s="288">
        <f ca="1">IF(rF1.AxResistanceBottom=0,"Inf.",rF1.WallAxForceBottom/rF1.AxResistanceBottom)</f>
        <v>1.2251155532495257</v>
      </c>
      <c r="N263" s="282"/>
      <c r="O263" s="276"/>
      <c r="P263" s="282"/>
      <c r="Q263" s="276"/>
      <c r="R263" s="402"/>
    </row>
    <row r="264" spans="1:35" ht="15.75" x14ac:dyDescent="0.2">
      <c r="C264" s="308"/>
      <c r="K264" s="266" t="s">
        <v>528</v>
      </c>
      <c r="L264" s="362" t="s">
        <v>543</v>
      </c>
      <c r="M264" s="327">
        <f ca="1">IF(OR(rF1.FireResNN,rF1.CheckFireResColumn),"-",IF(rF1.WallSlenderness02&lt;=rP1.LimitSlendernessKappa,15/(1.14-0.024*rF1.WallSlenderness02),(25-rF1.WallSlenderness02)/(1.14-0.024*rF1.WallSlenderness02)))</f>
        <v>15.703808241233419</v>
      </c>
      <c r="N264" s="279"/>
      <c r="O264" s="278"/>
      <c r="P264" s="279"/>
      <c r="Q264" s="278"/>
      <c r="R264" s="402"/>
    </row>
    <row r="265" spans="1:35" ht="15.75" x14ac:dyDescent="0.2">
      <c r="C265" s="308"/>
      <c r="G265" s="380">
        <f ca="1">IF(OR(rF1.FireResNN,rF1.CheckFireResColumn,rF1.CheckFireResManual02),"-",rF1.LoadFactorBottomFireReduced*rF1.AxResistanceBottom)</f>
        <v>271.16707655624998</v>
      </c>
      <c r="K265" s="170" t="s">
        <v>527</v>
      </c>
      <c r="L265" s="284" t="s">
        <v>544</v>
      </c>
      <c r="M265" s="326">
        <f ca="1">IF(OR(rF1.FireResNN,rF1.CheckFireResColumn,rF1.CheckFireResManual02),"-",IF(rF1.AxResistanceBottom=0,"Inf.",rF1.LoadFactorBottom*0.7))</f>
        <v>0.85758088727466797</v>
      </c>
      <c r="N265" s="364">
        <f ca="1">IF(OR(rF1.FireResNN,rF1.CheckFireResColumn,rF1.CheckFireResManual02),"",rF1.LoadFactorBottomFireReduced*rF1.AxResistanceBottom)</f>
        <v>271.16707655624998</v>
      </c>
      <c r="O265" s="276"/>
      <c r="P265" s="282"/>
      <c r="Q265" s="276"/>
      <c r="R265" s="402"/>
    </row>
    <row r="266" spans="1:35" ht="15.75" x14ac:dyDescent="0.2">
      <c r="C266" s="308">
        <f ca="1">OFFSET(rL6.FireResClassList,rF1.FireResClassSelection-1,1,1,1)</f>
        <v>14</v>
      </c>
      <c r="G266" s="380">
        <f ca="1">IF(OR(rF1.FireResNN,rF1.CheckFireResColumn,rF1.CheckFireResManual02),"-",rF1.LoadFactorBottomFireMax*rF1.AxResistanceBottom)</f>
        <v>0</v>
      </c>
      <c r="K266" s="266" t="s">
        <v>525</v>
      </c>
      <c r="L266" s="286" t="s">
        <v>545</v>
      </c>
      <c r="M266" s="327">
        <f ca="1">IF(OR(rF1.FireResNN,rF1.CheckFireResColumn,rF1.CheckFireResManual02),"-",MAX(OFFSET(INDIRECT(INDEX(rF1.BrickListNumber,1,2)),MIN(INDEX(rF1.BrickProductSelection,1,2),COUNTA(rF1.BrickList02)),rF1.ColumnPlacementFactor,1,1),OFFSET(INDIRECT(INDEX(rF1.BrickListNumber,1,2)),MIN(INDEX(rF1.BrickProductSelection,1,2),COUNTA(rF1.BrickList02)),rF1.ColumnPlacementFactor+1,1,1)*rF1.FireResistanceCoeff))</f>
        <v>0</v>
      </c>
      <c r="N266" s="367">
        <f ca="1">IF(OR(rF1.FireResNN,rF1.CheckFireResColumn,rF1.CheckFireResManual02),"",rF1.LoadFactorBottomFireMax*rF1.AxResistanceBottom)</f>
        <v>0</v>
      </c>
      <c r="O266" s="278"/>
      <c r="P266" s="279"/>
      <c r="Q266" s="278"/>
      <c r="R266" s="402"/>
    </row>
    <row r="267" spans="1:35" x14ac:dyDescent="0.2">
      <c r="C267" s="313"/>
      <c r="K267" s="276" t="s">
        <v>529</v>
      </c>
      <c r="L267" s="282" t="s">
        <v>546</v>
      </c>
      <c r="M267" s="288" t="str">
        <f ca="1">IF(rF1.FireResNN,rP2.OutputFireResNN,IF(OR(rF1.CheckFireResColumn,rF1.CheckFireResManual02),"-",IF(OR(rF1.LoadFactorBottomFireMax=0,rF1.AxResistanceBottom=0),"Inf.",rF1.LoadFactorBottom*0.7/rF1.LoadFactorBottomFireMax)))</f>
        <v>Inf.</v>
      </c>
      <c r="N267" s="276" t="str">
        <f ca="1">IF(rF1.CheckFireResManual02,rP2.OutputFireProofManual02,IF(rF1.CheckFireResColumn,rP2.FireProofManual,IF(rF1.LoadFactorBottomFireMax=0,rP2.OutputFireResClassFail,"")))</f>
        <v>Für die gewählte Feuerwiderstandsklasse nicht geeignet!</v>
      </c>
      <c r="O267" s="276"/>
      <c r="P267" s="282"/>
      <c r="Q267" s="276"/>
      <c r="R267" s="402"/>
    </row>
    <row r="268" spans="1:35" hidden="1" x14ac:dyDescent="0.2">
      <c r="Q268" s="116">
        <v>4</v>
      </c>
      <c r="R268" s="406"/>
    </row>
    <row r="269" spans="1:35" hidden="1" x14ac:dyDescent="0.2">
      <c r="R269" s="406"/>
    </row>
    <row r="270" spans="1:35" hidden="1" x14ac:dyDescent="0.2">
      <c r="R270" s="406"/>
    </row>
    <row r="271" spans="1:35" hidden="1" x14ac:dyDescent="0.2">
      <c r="R271" s="406"/>
    </row>
    <row r="272" spans="1:35" hidden="1" x14ac:dyDescent="0.2">
      <c r="R272" s="406"/>
    </row>
    <row r="273" spans="18:18" hidden="1" x14ac:dyDescent="0.2">
      <c r="R273" s="406"/>
    </row>
    <row r="274" spans="18:18" hidden="1" x14ac:dyDescent="0.2">
      <c r="R274" s="400">
        <v>4</v>
      </c>
    </row>
    <row r="275" spans="18:18" hidden="1" x14ac:dyDescent="0.2"/>
    <row r="276" spans="18:18" hidden="1" x14ac:dyDescent="0.2"/>
    <row r="277" spans="18:18" hidden="1" x14ac:dyDescent="0.2"/>
    <row r="278" spans="18:18" hidden="1" x14ac:dyDescent="0.2"/>
    <row r="279" spans="18:18" hidden="1" x14ac:dyDescent="0.2"/>
  </sheetData>
  <sheetProtection selectLockedCells="1"/>
  <mergeCells count="7">
    <mergeCell ref="L25:P25"/>
    <mergeCell ref="N18:O18"/>
    <mergeCell ref="K19:M20"/>
    <mergeCell ref="N19:O20"/>
    <mergeCell ref="L22:P22"/>
    <mergeCell ref="L23:P23"/>
    <mergeCell ref="L24:P24"/>
  </mergeCells>
  <conditionalFormatting sqref="L30:L31">
    <cfRule type="expression" dxfId="114" priority="115">
      <formula>$E$12="Nicht vorhanden"</formula>
    </cfRule>
  </conditionalFormatting>
  <conditionalFormatting sqref="L49:L55 L60 L62:L65">
    <cfRule type="expression" dxfId="113" priority="114">
      <formula>$C$41="Nicht vorhanden"</formula>
    </cfRule>
  </conditionalFormatting>
  <conditionalFormatting sqref="L58:L59">
    <cfRule type="expression" dxfId="112" priority="113">
      <formula>$C$41="Nicht vorhanden"</formula>
    </cfRule>
  </conditionalFormatting>
  <conditionalFormatting sqref="L29">
    <cfRule type="expression" dxfId="111" priority="112">
      <formula>$E$12="Nicht vorhanden"</formula>
    </cfRule>
  </conditionalFormatting>
  <conditionalFormatting sqref="L89">
    <cfRule type="expression" dxfId="110" priority="111">
      <formula>$E$12="Nicht vorhanden"</formula>
    </cfRule>
  </conditionalFormatting>
  <conditionalFormatting sqref="K109:L109 K60 K62:K65">
    <cfRule type="expression" dxfId="109" priority="110">
      <formula>$C$39="Nicht vorhanden"</formula>
    </cfRule>
  </conditionalFormatting>
  <conditionalFormatting sqref="M89">
    <cfRule type="expression" dxfId="108" priority="109">
      <formula>$E$12="Nicht vorhanden"</formula>
    </cfRule>
  </conditionalFormatting>
  <conditionalFormatting sqref="O89">
    <cfRule type="expression" dxfId="107" priority="108">
      <formula>$E$12="Nicht vorhanden"</formula>
    </cfRule>
  </conditionalFormatting>
  <conditionalFormatting sqref="M68:N69">
    <cfRule type="expression" dxfId="106" priority="89">
      <formula>rF1.CheckAxForceCalculation=TRUE</formula>
    </cfRule>
  </conditionalFormatting>
  <conditionalFormatting sqref="O139 O148:O150 O34:O38 O41:O45">
    <cfRule type="expression" dxfId="105" priority="1">
      <formula>rF1.CheckWallNotExisting=1</formula>
    </cfRule>
  </conditionalFormatting>
  <conditionalFormatting sqref="L34">
    <cfRule type="expression" dxfId="104" priority="106">
      <formula>$E$12="Nicht vorhanden"</formula>
    </cfRule>
  </conditionalFormatting>
  <conditionalFormatting sqref="P70">
    <cfRule type="expression" dxfId="103" priority="105">
      <formula>rF1.CheckAxForceCalculation=FALSE</formula>
    </cfRule>
  </conditionalFormatting>
  <conditionalFormatting sqref="M139 M41 M33:M39 M44:M45">
    <cfRule type="expression" dxfId="102" priority="69">
      <formula>OR(rF1.CheckFoundation=1,rF1.CheckBasePlate=1)</formula>
    </cfRule>
  </conditionalFormatting>
  <conditionalFormatting sqref="M68">
    <cfRule type="cellIs" dxfId="101" priority="107" operator="lessThan">
      <formula>rF1.WallAxForceDeadTop</formula>
    </cfRule>
  </conditionalFormatting>
  <conditionalFormatting sqref="M69">
    <cfRule type="cellIs" dxfId="100" priority="101" operator="lessThan">
      <formula>rF1.WallAxForceDeadTop</formula>
    </cfRule>
    <cfRule type="cellIs" dxfId="99" priority="102" operator="lessThan">
      <formula>rF1.WallAxForceDeadMiddleInput</formula>
    </cfRule>
  </conditionalFormatting>
  <conditionalFormatting sqref="N68">
    <cfRule type="cellIs" dxfId="98" priority="100" operator="lessThan">
      <formula>rF1.WallAxForceLiveTop</formula>
    </cfRule>
  </conditionalFormatting>
  <conditionalFormatting sqref="N69">
    <cfRule type="cellIs" dxfId="97" priority="90" operator="lessThan">
      <formula>rF1.WallAxForceLiveTop</formula>
    </cfRule>
    <cfRule type="cellIs" dxfId="96" priority="99" operator="lessThan">
      <formula>rF1.WallAxForceLiveMiddle</formula>
    </cfRule>
  </conditionalFormatting>
  <conditionalFormatting sqref="M53">
    <cfRule type="cellIs" dxfId="95" priority="94" operator="greaterThan">
      <formula>INDEX(rF1.SlabSpanParallel,1,1)</formula>
    </cfRule>
    <cfRule type="cellIs" dxfId="94" priority="98" operator="lessThan">
      <formula>rF1.MinInfluenceWidth01</formula>
    </cfRule>
  </conditionalFormatting>
  <conditionalFormatting sqref="N53">
    <cfRule type="cellIs" dxfId="93" priority="93" operator="greaterThan">
      <formula>INDEX(rF1.SlabSpanParallel,1,2)</formula>
    </cfRule>
    <cfRule type="cellIs" dxfId="92" priority="97" operator="lessThan">
      <formula>rF1.MinInfluenceWidth02</formula>
    </cfRule>
  </conditionalFormatting>
  <conditionalFormatting sqref="P51:P54">
    <cfRule type="expression" dxfId="91" priority="96">
      <formula>rF1.CheckSlabExisting04=0</formula>
    </cfRule>
  </conditionalFormatting>
  <conditionalFormatting sqref="O51:O54">
    <cfRule type="expression" dxfId="90" priority="95">
      <formula>rF1.CheckSlabExisting03=0</formula>
    </cfRule>
  </conditionalFormatting>
  <conditionalFormatting sqref="N42">
    <cfRule type="expression" dxfId="89" priority="92">
      <formula>rF1.CheckBendingMomentSlabTop=FALSE</formula>
    </cfRule>
  </conditionalFormatting>
  <conditionalFormatting sqref="N43">
    <cfRule type="expression" dxfId="88" priority="91">
      <formula>rF1.CheckBendingMomentSlabBottom=FALSE</formula>
    </cfRule>
  </conditionalFormatting>
  <conditionalFormatting sqref="K44:K47">
    <cfRule type="expression" dxfId="87" priority="88">
      <formula>$E$11="Nicht vorhanden"</formula>
    </cfRule>
  </conditionalFormatting>
  <conditionalFormatting sqref="K30:K31">
    <cfRule type="expression" dxfId="86" priority="87">
      <formula>$E$11="Nicht vorhanden"</formula>
    </cfRule>
  </conditionalFormatting>
  <conditionalFormatting sqref="K49:K55">
    <cfRule type="expression" dxfId="85" priority="86">
      <formula>$C$39="Nicht vorhanden"</formula>
    </cfRule>
  </conditionalFormatting>
  <conditionalFormatting sqref="K58:K59">
    <cfRule type="expression" dxfId="84" priority="85">
      <formula>$C$39="Nicht vorhanden"</formula>
    </cfRule>
  </conditionalFormatting>
  <conditionalFormatting sqref="K29">
    <cfRule type="expression" dxfId="83" priority="84">
      <formula>$E$11="Nicht vorhanden"</formula>
    </cfRule>
  </conditionalFormatting>
  <conditionalFormatting sqref="K89">
    <cfRule type="expression" dxfId="82" priority="83">
      <formula>$E$11="Nicht vorhanden"</formula>
    </cfRule>
  </conditionalFormatting>
  <conditionalFormatting sqref="K34">
    <cfRule type="expression" dxfId="81" priority="82">
      <formula>$E$11="Nicht vorhanden"</formula>
    </cfRule>
  </conditionalFormatting>
  <conditionalFormatting sqref="N89">
    <cfRule type="expression" dxfId="80" priority="81">
      <formula>$E$11="Nicht vorhanden"</formula>
    </cfRule>
  </conditionalFormatting>
  <conditionalFormatting sqref="K106">
    <cfRule type="expression" dxfId="79" priority="80">
      <formula>$E$11="Nicht vorhanden"</formula>
    </cfRule>
  </conditionalFormatting>
  <conditionalFormatting sqref="M43">
    <cfRule type="expression" dxfId="78" priority="79">
      <formula>OR(rF1.CheckFoundation=1,rF1.CheckBasePlate=1)</formula>
    </cfRule>
  </conditionalFormatting>
  <conditionalFormatting sqref="M79:O79 M81:O81 M83:O83 M85:O85 M87:O87 M76:O77">
    <cfRule type="expression" dxfId="77" priority="4">
      <formula>rF1.CheckWoodenSlabCalc</formula>
    </cfRule>
  </conditionalFormatting>
  <conditionalFormatting sqref="M80:O80 M82:O82 M86:O86">
    <cfRule type="expression" dxfId="76" priority="71">
      <formula>rF1.CheckWoodenSlabCalc</formula>
    </cfRule>
  </conditionalFormatting>
  <conditionalFormatting sqref="O46:O47">
    <cfRule type="expression" dxfId="75" priority="67">
      <formula>rF1.CheckWallNotExisting=1</formula>
    </cfRule>
  </conditionalFormatting>
  <conditionalFormatting sqref="M46:M47">
    <cfRule type="expression" dxfId="74" priority="68">
      <formula>OR(rF1.CheckFoundation=1,rF1.CheckBasePlate=1)</formula>
    </cfRule>
  </conditionalFormatting>
  <conditionalFormatting sqref="M44:M45 M47">
    <cfRule type="cellIs" dxfId="73" priority="103" operator="notBetween">
      <formula>rF1.MinBearingDepthTop01</formula>
      <formula>rF1.MaxBearingDepthTop01</formula>
    </cfRule>
  </conditionalFormatting>
  <conditionalFormatting sqref="O46">
    <cfRule type="cellIs" dxfId="72" priority="70" operator="greaterThan">
      <formula>INDEX(rF1.WallThickness,1,3)</formula>
    </cfRule>
  </conditionalFormatting>
  <conditionalFormatting sqref="O60 O62:O65">
    <cfRule type="expression" dxfId="71" priority="66">
      <formula>rF1.CheckSlabExisting03=0</formula>
    </cfRule>
  </conditionalFormatting>
  <conditionalFormatting sqref="P60 P62:P65">
    <cfRule type="expression" dxfId="70" priority="65">
      <formula>rF1.CheckSlabExisting04=0</formula>
    </cfRule>
  </conditionalFormatting>
  <conditionalFormatting sqref="P58:P59">
    <cfRule type="expression" dxfId="69" priority="64">
      <formula>rF1.CheckSlabExisting04=0</formula>
    </cfRule>
  </conditionalFormatting>
  <conditionalFormatting sqref="O58:O59">
    <cfRule type="expression" dxfId="68" priority="63">
      <formula>rF1.CheckSlabExisting03=0</formula>
    </cfRule>
  </conditionalFormatting>
  <conditionalFormatting sqref="M65">
    <cfRule type="cellIs" dxfId="67" priority="62" operator="greaterThan">
      <formula>rF1.MaximumDistanceLineLoad01</formula>
    </cfRule>
  </conditionalFormatting>
  <conditionalFormatting sqref="N65">
    <cfRule type="cellIs" dxfId="66" priority="61" operator="greaterThan">
      <formula>rF1.MaximumDistanceLineLoad02</formula>
    </cfRule>
  </conditionalFormatting>
  <conditionalFormatting sqref="O65">
    <cfRule type="cellIs" dxfId="65" priority="60" operator="greaterThan">
      <formula>rF1.MaximumDistanceLineLoad03</formula>
    </cfRule>
  </conditionalFormatting>
  <conditionalFormatting sqref="P65">
    <cfRule type="cellIs" dxfId="64" priority="59" operator="greaterThan">
      <formula>rF1.MaximumDistanceLineLoad04</formula>
    </cfRule>
  </conditionalFormatting>
  <conditionalFormatting sqref="N58:N60 P58:P60 N62:N65 P62:P65">
    <cfRule type="expression" dxfId="63" priority="57">
      <formula>rF1.CheckBendingMomentSlabTop</formula>
    </cfRule>
  </conditionalFormatting>
  <conditionalFormatting sqref="M58:M60 M62:M65 O58:O60 O62:O65">
    <cfRule type="expression" dxfId="62" priority="58">
      <formula>rF1.CheckBendingMomentSlabBottom</formula>
    </cfRule>
  </conditionalFormatting>
  <conditionalFormatting sqref="M58:M60 M62:M65 O58:O60 O62:O65">
    <cfRule type="expression" dxfId="61" priority="56">
      <formula>rF1.CheckWoodenSlab01</formula>
    </cfRule>
  </conditionalFormatting>
  <conditionalFormatting sqref="N58:N60 N62:N65 P58:P60 P62:P65">
    <cfRule type="expression" dxfId="60" priority="55">
      <formula>rF1.CheckWoodenSlab02</formula>
    </cfRule>
  </conditionalFormatting>
  <conditionalFormatting sqref="O133 O135 O139 O141 O144 O146 O148 O150 O152 O154 O161 O163 O165 O167 O169 O173 O156:O158">
    <cfRule type="expression" dxfId="59" priority="54">
      <formula>rF1.CheckWallNotExisting=1</formula>
    </cfRule>
  </conditionalFormatting>
  <conditionalFormatting sqref="M170:O170">
    <cfRule type="cellIs" dxfId="58" priority="53" operator="greaterThan">
      <formula>rP1.MaxSlendernessWall</formula>
    </cfRule>
  </conditionalFormatting>
  <conditionalFormatting sqref="P170">
    <cfRule type="expression" dxfId="57" priority="52">
      <formula>rF1.WallSlenderness02&gt;rP1.MaxSlendernessWall</formula>
    </cfRule>
  </conditionalFormatting>
  <conditionalFormatting sqref="O134 O136 O138 O140 O143 O145 O147 O149 O151 O153 O155 O160 O162 O164 O166 O168 O170">
    <cfRule type="expression" dxfId="56" priority="51">
      <formula>rF1.CheckWallNotExisting=1</formula>
    </cfRule>
  </conditionalFormatting>
  <conditionalFormatting sqref="O174 O176 O178 O180 O182 O188 O190 O193 O195 O184">
    <cfRule type="expression" dxfId="55" priority="50">
      <formula>rF1.CheckSlabExisting03=0</formula>
    </cfRule>
  </conditionalFormatting>
  <conditionalFormatting sqref="O173 O175 O177 O179 O181 O189 O192 O194 O183 O185">
    <cfRule type="expression" dxfId="54" priority="49">
      <formula>rF1.CheckSlabExisting03=0</formula>
    </cfRule>
  </conditionalFormatting>
  <conditionalFormatting sqref="P173 P175 P177 P179 P181 P189 P192 P194 P183 P185">
    <cfRule type="expression" dxfId="53" priority="48">
      <formula>rF1.CheckSlabExisting04=0</formula>
    </cfRule>
  </conditionalFormatting>
  <conditionalFormatting sqref="P174 P176 P178 P180 P182 P188 P190 P193 P195 P184">
    <cfRule type="expression" dxfId="52" priority="47">
      <formula>rF1.CheckSlabExisting04=0</formula>
    </cfRule>
  </conditionalFormatting>
  <conditionalFormatting sqref="M133 M135 M139 M141 M144 M146 M148 M150 M152 M154 M161 M163 M165 M167 M169 M156:M158">
    <cfRule type="expression" dxfId="51" priority="46">
      <formula>OR(rF1.CheckFoundation=1,rF1.CheckBasePlate=1)</formula>
    </cfRule>
  </conditionalFormatting>
  <conditionalFormatting sqref="M132 M134 M136 M138 M140 M143 M145 M147 M149 M151 M153 M155 M160 M164 M166 M170">
    <cfRule type="expression" dxfId="50" priority="45">
      <formula>OR(rF1.CheckFoundation=1,rF1.CheckBasePlate=1)</formula>
    </cfRule>
  </conditionalFormatting>
  <conditionalFormatting sqref="M205">
    <cfRule type="expression" dxfId="49" priority="44">
      <formula>rF1.CheckBendingMomentSlabTop</formula>
    </cfRule>
  </conditionalFormatting>
  <conditionalFormatting sqref="M206">
    <cfRule type="expression" dxfId="48" priority="43">
      <formula>rF1.CheckBendingMomentSlabTop</formula>
    </cfRule>
  </conditionalFormatting>
  <conditionalFormatting sqref="M209">
    <cfRule type="expression" dxfId="47" priority="42">
      <formula>rF1.CheckBendingMomentSlabBottom</formula>
    </cfRule>
  </conditionalFormatting>
  <conditionalFormatting sqref="M210">
    <cfRule type="expression" dxfId="46" priority="41">
      <formula>rF1.CheckBendingMomentSlabBottom</formula>
    </cfRule>
  </conditionalFormatting>
  <conditionalFormatting sqref="M212">
    <cfRule type="expression" dxfId="45" priority="40">
      <formula>AND(rF1.CheckBendingMomentSlabTop,rF1.CheckBendingMomentSlabBottom)</formula>
    </cfRule>
  </conditionalFormatting>
  <conditionalFormatting sqref="L262:M263">
    <cfRule type="expression" dxfId="44" priority="33">
      <formula>rF1.AxResistanceBottom&gt;=rF1.WallAxForceBottom</formula>
    </cfRule>
    <cfRule type="expression" dxfId="43" priority="34">
      <formula>rF1.AxResistanceBottom&lt;rF1.WallAxForceBottom</formula>
    </cfRule>
  </conditionalFormatting>
  <conditionalFormatting sqref="L130">
    <cfRule type="expression" dxfId="42" priority="21">
      <formula>rF1.CheckWoodenSlabCalc</formula>
    </cfRule>
  </conditionalFormatting>
  <conditionalFormatting sqref="L233:M233">
    <cfRule type="expression" dxfId="41" priority="26">
      <formula>rF1.FireResNN</formula>
    </cfRule>
    <cfRule type="expression" dxfId="40" priority="30">
      <formula>rF1.LoadFactorTopFire&lt;=1</formula>
    </cfRule>
  </conditionalFormatting>
  <conditionalFormatting sqref="L251:M251">
    <cfRule type="expression" dxfId="39" priority="7">
      <formula>rF1.FireResNN</formula>
    </cfRule>
    <cfRule type="expression" dxfId="38" priority="28">
      <formula>rF1.LoadFactorMiddleFire&lt;=1</formula>
    </cfRule>
  </conditionalFormatting>
  <conditionalFormatting sqref="L267:M267">
    <cfRule type="expression" dxfId="37" priority="8">
      <formula>rF1.FireResNN</formula>
    </cfRule>
    <cfRule type="expression" dxfId="36" priority="27">
      <formula>rF1.LoadFactorBottomFire&lt;=1</formula>
    </cfRule>
  </conditionalFormatting>
  <conditionalFormatting sqref="L246:M247">
    <cfRule type="expression" dxfId="35" priority="35">
      <formula>rF1.AxResistanceMiddle&lt;rF1.WallAxForceMiddle</formula>
    </cfRule>
    <cfRule type="expression" dxfId="34" priority="36">
      <formula>rF1.AxResistanceMiddle&gt;=rF1.WallAxForceMiddle</formula>
    </cfRule>
  </conditionalFormatting>
  <conditionalFormatting sqref="N44">
    <cfRule type="cellIs" dxfId="33" priority="25" operator="notBetween">
      <formula>rF1.MinBearingDepthTop02</formula>
      <formula>rF1.MaxBearingDepthTop02</formula>
    </cfRule>
  </conditionalFormatting>
  <conditionalFormatting sqref="N45">
    <cfRule type="cellIs" dxfId="32" priority="24" operator="notBetween">
      <formula>rF1.MinBearingDepthBottom02</formula>
      <formula>rF1.MaxBearingDepthBottom02</formula>
    </cfRule>
  </conditionalFormatting>
  <conditionalFormatting sqref="O70">
    <cfRule type="expression" dxfId="31" priority="23">
      <formula>rF1.CheckAxForceCalculation=FALSE</formula>
    </cfRule>
  </conditionalFormatting>
  <conditionalFormatting sqref="M40">
    <cfRule type="expression" dxfId="30" priority="22">
      <formula>OR(rF1.CheckFoundation=1,rF1.CheckBasePlate=1)</formula>
    </cfRule>
  </conditionalFormatting>
  <conditionalFormatting sqref="M162">
    <cfRule type="expression" dxfId="29" priority="39">
      <formula>rF1.CheckFoundation</formula>
    </cfRule>
  </conditionalFormatting>
  <conditionalFormatting sqref="L228:M229">
    <cfRule type="expression" dxfId="28" priority="37">
      <formula>rF1.AxResistanceTop&lt;rF1.WallAxForceTop</formula>
    </cfRule>
    <cfRule type="expression" dxfId="27" priority="38">
      <formula>rF1.AxResistanceTop&gt;=rF1.WallAxForceTop</formula>
    </cfRule>
  </conditionalFormatting>
  <conditionalFormatting sqref="L233:N233">
    <cfRule type="expression" dxfId="26" priority="31">
      <formula>rF1.LoadFactorTopFire&gt;1</formula>
    </cfRule>
  </conditionalFormatting>
  <conditionalFormatting sqref="L251:N251">
    <cfRule type="expression" dxfId="25" priority="29">
      <formula>rF1.LoadFactorMiddleFire&gt;1</formula>
    </cfRule>
  </conditionalFormatting>
  <conditionalFormatting sqref="L267:N267">
    <cfRule type="expression" dxfId="24" priority="32">
      <formula>rF1.LoadFactorBottomFire&gt;1</formula>
    </cfRule>
  </conditionalFormatting>
  <conditionalFormatting sqref="M81:M83">
    <cfRule type="expression" dxfId="23" priority="73">
      <formula>rF1.LoadFactorTop&lt;=1</formula>
    </cfRule>
    <cfRule type="expression" dxfId="22" priority="76">
      <formula>rF1.LoadFactorTop&gt;1</formula>
    </cfRule>
  </conditionalFormatting>
  <conditionalFormatting sqref="N81:N83">
    <cfRule type="expression" dxfId="21" priority="74">
      <formula>rF1.LoadFactorMiddle&lt;=1</formula>
    </cfRule>
    <cfRule type="expression" dxfId="20" priority="77">
      <formula>rF1.LoadFactorMiddle&gt;1</formula>
    </cfRule>
  </conditionalFormatting>
  <conditionalFormatting sqref="O81:O83">
    <cfRule type="expression" dxfId="19" priority="75">
      <formula>rF1.LoadFactorBottom&lt;=1</formula>
    </cfRule>
    <cfRule type="expression" dxfId="18" priority="78">
      <formula>rF1.LoadFactorBottom&gt;1</formula>
    </cfRule>
  </conditionalFormatting>
  <conditionalFormatting sqref="M87">
    <cfRule type="expression" dxfId="17" priority="18">
      <formula>rF1.LoadFactorTopFire&lt;=1</formula>
    </cfRule>
    <cfRule type="expression" dxfId="16" priority="72">
      <formula>rF1.LoadFactorTopFire&gt;1</formula>
    </cfRule>
  </conditionalFormatting>
  <conditionalFormatting sqref="N87">
    <cfRule type="expression" dxfId="15" priority="16">
      <formula>rF1.LoadFactorMiddleFire&lt;=1</formula>
    </cfRule>
    <cfRule type="expression" dxfId="14" priority="19">
      <formula>rF1.LoadFactorMiddleFire&gt;1</formula>
    </cfRule>
  </conditionalFormatting>
  <conditionalFormatting sqref="O87">
    <cfRule type="expression" dxfId="13" priority="17">
      <formula>rF1.LoadFactorBottomFire&lt;=1</formula>
    </cfRule>
    <cfRule type="expression" dxfId="12" priority="20">
      <formula>rF1.LoadFactorBottomFire&gt;1</formula>
    </cfRule>
  </conditionalFormatting>
  <conditionalFormatting sqref="K231 M231:Q231 M249 K267:Q267 M265 K232:Q248 K251:Q264 K250:M250 O249:Q250 K266:M266 O265:Q266 R132:R273 K130:Q230">
    <cfRule type="expression" dxfId="11" priority="6">
      <formula>rF1.CheckWoodenSlabCalc</formula>
    </cfRule>
  </conditionalFormatting>
  <conditionalFormatting sqref="O157">
    <cfRule type="expression" dxfId="10" priority="14">
      <formula>rF1.CheckWallNotExisting=1</formula>
    </cfRule>
  </conditionalFormatting>
  <conditionalFormatting sqref="M157">
    <cfRule type="expression" dxfId="9" priority="13">
      <formula>OR(rF1.CheckFoundation=1,rF1.CheckBasePlate=1)</formula>
    </cfRule>
  </conditionalFormatting>
  <conditionalFormatting sqref="K249">
    <cfRule type="expression" dxfId="8" priority="12">
      <formula>rF1.CheckWoodenSlabCalc</formula>
    </cfRule>
  </conditionalFormatting>
  <conditionalFormatting sqref="K265">
    <cfRule type="expression" dxfId="7" priority="11">
      <formula>rF1.CheckWoodenSlabCalc</formula>
    </cfRule>
  </conditionalFormatting>
  <conditionalFormatting sqref="N249:N250">
    <cfRule type="expression" dxfId="6" priority="10">
      <formula>rF1.CheckWoodenSlabCalc</formula>
    </cfRule>
  </conditionalFormatting>
  <conditionalFormatting sqref="N265:N266">
    <cfRule type="expression" dxfId="5" priority="9">
      <formula>rF1.CheckWoodenSlabCalc</formula>
    </cfRule>
  </conditionalFormatting>
  <conditionalFormatting sqref="R132:R273 K130:Q267">
    <cfRule type="expression" dxfId="4" priority="5">
      <formula>rF1.CheckShowDetails=FALSE</formula>
    </cfRule>
  </conditionalFormatting>
  <conditionalFormatting sqref="M87:O87">
    <cfRule type="expression" dxfId="3" priority="15">
      <formula>rF1.FireResNN</formula>
    </cfRule>
  </conditionalFormatting>
  <conditionalFormatting sqref="P44">
    <cfRule type="expression" dxfId="2" priority="3">
      <formula>rF1.CheckCantilever04</formula>
    </cfRule>
  </conditionalFormatting>
  <conditionalFormatting sqref="P45">
    <cfRule type="expression" dxfId="1" priority="2">
      <formula>rF1.CheckCantilever03</formula>
    </cfRule>
  </conditionalFormatting>
  <conditionalFormatting sqref="O45">
    <cfRule type="cellIs" dxfId="0" priority="104" operator="notBetween">
      <formula>rF1.MinBearingDepthBottom03</formula>
      <formula>rF1.MaxBearingDepthBottom03</formula>
    </cfRule>
  </conditionalFormatting>
  <dataValidations count="28">
    <dataValidation type="decimal" allowBlank="1" showInputMessage="1" showErrorMessage="1" errorTitle="Eingabefehler" error="Der Abstand muss größer oder gleich der minimalen Auflagertiefe (siehe Manual) und kleiner als die Dicke von Wand 3 sein!" sqref="O45" xr:uid="{00000000-0002-0000-0500-000000000000}">
      <formula1>0</formula1>
      <formula2>rF1.MaxBearingDepthBottom03</formula2>
    </dataValidation>
    <dataValidation type="decimal" allowBlank="1" showInputMessage="1" showErrorMessage="1" errorTitle="Eingabefehler" error="Der Abstand muss größer oder gleich der minimalen Auflagertiefe (siehe Manual) und kleiner als die Dicke von Wand 2 sein!" sqref="N44:N45" xr:uid="{00000000-0002-0000-0500-000001000000}">
      <formula1>0</formula1>
      <formula2>rF1.MaxBearingDepthBottom02</formula2>
    </dataValidation>
    <dataValidation type="decimal" allowBlank="1" showInputMessage="1" showErrorMessage="1" errorTitle="Eingabefehler" error="Der Abstand muss größer oder gleich der minimalen Auflagertiefe (siehe Manual) und kleiner als die Dicke von Wand 1 sein!" sqref="M44" xr:uid="{00000000-0002-0000-0500-000002000000}">
      <formula1>0</formula1>
      <formula2>rF1.MaxBearingDepthTop01</formula2>
    </dataValidation>
    <dataValidation operator="greaterThan" allowBlank="1" showInputMessage="1" showErrorMessage="1" errorTitle="Eingabefehler" error="Die Wandlänge muss größer als 0 sein!" sqref="O38 M38" xr:uid="{00000000-0002-0000-0500-000003000000}"/>
    <dataValidation operator="greaterThanOrEqual" allowBlank="1" showInputMessage="1" showErrorMessage="1" errorTitle="Eingabefehler" error="Die Lasten müßen größer oder gleich 0 sein!" sqref="M72" xr:uid="{00000000-0002-0000-0500-000004000000}"/>
    <dataValidation type="decimal" allowBlank="1" showInputMessage="1" showErrorMessage="1" errorTitle="Eingabefehler" error="Der Abstand muss größer oder gleich 0 und kleiner als die Dicke von Wand 1 sein!" sqref="M45" xr:uid="{00000000-0002-0000-0500-000005000000}">
      <formula1>0</formula1>
      <formula2>INDEX(rF1.WallThickness,1,1)</formula2>
    </dataValidation>
    <dataValidation allowBlank="1" showInputMessage="1" showErrorMessage="1" errorTitle="Input error" error="Wall height must be greater than 0!" sqref="M42:M43" xr:uid="{00000000-0002-0000-0500-000006000000}"/>
    <dataValidation type="decimal" operator="greaterThanOrEqual" allowBlank="1" showInputMessage="1" showErrorMessage="1" errorTitle="Eingabefehler" error="Die Belastung muss größer oder gleich 0 sein!" sqref="M58:P59 M62:P63" xr:uid="{00000000-0002-0000-0500-000007000000}">
      <formula1>0</formula1>
    </dataValidation>
    <dataValidation type="decimal" operator="greaterThan" allowBlank="1" showInputMessage="1" showErrorMessage="1" errorTitle="Eingabefehler" error="Die Wandhöhe muss größer als 0 sein!" sqref="M35:O35" xr:uid="{00000000-0002-0000-0500-000008000000}">
      <formula1>0</formula1>
    </dataValidation>
    <dataValidation type="decimal" allowBlank="1" showInputMessage="1" showErrorMessage="1" errorTitle="Eingabefehler" error="Der Abstand muss größer oder gleich 0 und kleiner als die Dicke von Wand 2, sowie Wand 3 sein!" sqref="O44" xr:uid="{00000000-0002-0000-0500-000009000000}">
      <formula1>0</formula1>
      <formula2>rF1.MaxBearingDepthTop02</formula2>
    </dataValidation>
    <dataValidation type="decimal" allowBlank="1" showInputMessage="1" showErrorMessage="1" errorTitle="Eingabefehler" error="Die Position der Linienlast muss innerhalb der Deckengrenzen liegen!" sqref="P65" xr:uid="{00000000-0002-0000-0500-00000A000000}">
      <formula1>0</formula1>
      <formula2>rF1.MaximumDistanceLineLoad04</formula2>
    </dataValidation>
    <dataValidation type="decimal" allowBlank="1" showInputMessage="1" showErrorMessage="1" errorTitle="Eingabefehler" error="Die Position der Linienlast muss innerhalb der Deckengrenzen liegen!" sqref="O65" xr:uid="{00000000-0002-0000-0500-00000B000000}">
      <formula1>0</formula1>
      <formula2>rF1.MaximumDistanceLineLoad03</formula2>
    </dataValidation>
    <dataValidation type="decimal" allowBlank="1" showInputMessage="1" showErrorMessage="1" errorTitle="Eingabefehler" error="Die Position der Linienlast muss innerhalb der Deckengrenzen liegen!" sqref="N65" xr:uid="{00000000-0002-0000-0500-00000C000000}">
      <formula1>0</formula1>
      <formula2>rF1.MaximumDistanceLineLoad02</formula2>
    </dataValidation>
    <dataValidation type="decimal" allowBlank="1" showInputMessage="1" showErrorMessage="1" errorTitle="Eingabefehler" error="Die Position der Linienlast muss innerhalb der Deckengrenzen liegen!" sqref="M65" xr:uid="{00000000-0002-0000-0500-00000D000000}">
      <formula1>0</formula1>
      <formula2>rF1.MaximumDistanceLineLoad01</formula2>
    </dataValidation>
    <dataValidation type="decimal" allowBlank="1" showInputMessage="1" showErrorMessage="1" errorTitle="Eingabefehler" error="Die Ausmitte muss zwischen -t/2 und t/2 betragen!" sqref="N42:N43" xr:uid="{00000000-0002-0000-0500-00000E000000}">
      <formula1>-rF1.WallThickness02/2</formula1>
      <formula2>rF1.WallThickness02/2</formula2>
    </dataValidation>
    <dataValidation type="decimal" operator="greaterThanOrEqual" allowBlank="1" showInputMessage="1" showErrorMessage="1" errorTitle="Eingabefehler" error="Die Normalkraft im Wandfuß muss größer oder gleich der Normalkraft in Wandmitte sein!" sqref="M69" xr:uid="{00000000-0002-0000-0500-00000F000000}">
      <formula1>rF1.WallAxForceDeadMiddleInput</formula1>
    </dataValidation>
    <dataValidation type="decimal" operator="greaterThanOrEqual" allowBlank="1" showErrorMessage="1" errorTitle="Eingabefehler" error="Die Normalkraft im Wandfuß muss größer oder gleich der Normalkraft in Wandmitte sein!" sqref="N69" xr:uid="{00000000-0002-0000-0500-000010000000}">
      <formula1>rF1.WallAxForceLiveMiddle</formula1>
    </dataValidation>
    <dataValidation type="decimal" operator="greaterThanOrEqual" allowBlank="1" showErrorMessage="1" errorTitle="Eingabefehler" error="Die Normalkraft in Wandmitte muss größer oder gleich der Normalkraft im Wandkopf sein!" sqref="N68" xr:uid="{00000000-0002-0000-0500-000011000000}">
      <formula1>rF1.WallAxForceLiveTop</formula1>
    </dataValidation>
    <dataValidation type="decimal" allowBlank="1" showInputMessage="1" showErrorMessage="1" errorTitle="Eingabefehler" error="Die Einflussbreite muss größer als die Länge von Wand 1, sowie Wand 2 und kleiner als die Deckenspannweite parallel zur Wand sein!" sqref="M53" xr:uid="{00000000-0002-0000-0500-000012000000}">
      <formula1>rF1.MinInfluenceWidth01</formula1>
      <formula2>INDEX(rF1.SlabSpanParallel,1,1)</formula2>
    </dataValidation>
    <dataValidation type="decimal" allowBlank="1" showInputMessage="1" showErrorMessage="1" errorTitle="Eingabefehler" error="Die Einflussbreite muss größer als die Länge von Wand 2, sowie Wand 3 und kleiner als die Deckenspannweite parallel zur Wand sein!" sqref="N53" xr:uid="{00000000-0002-0000-0500-000013000000}">
      <formula1>rF1.MinInfluenceWidth02</formula1>
      <formula2>INDEX(rF1.SlabSpanParallel,1,2)</formula2>
    </dataValidation>
    <dataValidation operator="greaterThan" allowBlank="1" showInputMessage="1" showErrorMessage="1" sqref="O53:P53" xr:uid="{00000000-0002-0000-0500-000014000000}"/>
    <dataValidation type="whole" allowBlank="1" showInputMessage="1" showErrorMessage="1" errorTitle="Input error" error="Wall height must be greater than 0!" sqref="O41:O43 M41:N41" xr:uid="{00000000-0002-0000-0500-000015000000}">
      <formula1>0</formula1>
      <formula2>2</formula2>
    </dataValidation>
    <dataValidation type="decimal" operator="greaterThanOrEqual" allowBlank="1" showInputMessage="1" showErrorMessage="1" errorTitle="Input error" error="Loads must be grater or equal to 0!" sqref="M67 M64:P64 M60:P60" xr:uid="{00000000-0002-0000-0500-000016000000}">
      <formula1>0</formula1>
    </dataValidation>
    <dataValidation type="decimal" operator="greaterThanOrEqual" allowBlank="1" showInputMessage="1" showErrorMessage="1" errorTitle="Input error" error="Loads must be grater or equal to axial force in wall middle!" sqref="M70" xr:uid="{00000000-0002-0000-0500-000017000000}">
      <formula1>rF1.WallAxForceDeadMiddleInput</formula1>
    </dataValidation>
    <dataValidation type="decimal" operator="greaterThanOrEqual" allowBlank="1" showErrorMessage="1" errorTitle="Eingabefehler" error="Die Normalkraft in Wandmitte muss größer oder gleich der Normalkraft im Wandkopf sein!" sqref="M68" xr:uid="{00000000-0002-0000-0500-000018000000}">
      <formula1>rF1.WallAxForceDeadTop</formula1>
    </dataValidation>
    <dataValidation type="decimal" operator="greaterThan" allowBlank="1" showInputMessage="1" showErrorMessage="1" errorTitle="Eingabefehler" error="Die Deckendicke muss größer als 0 sein!" sqref="M54:P54" xr:uid="{00000000-0002-0000-0500-000019000000}">
      <formula1>0</formula1>
    </dataValidation>
    <dataValidation type="decimal" operator="greaterThan" allowBlank="1" showInputMessage="1" showErrorMessage="1" errorTitle="Eingabefehler" error="Die Deckenspannweite muss größer als 0 sein!" sqref="M51:P52" xr:uid="{00000000-0002-0000-0500-00001A000000}">
      <formula1>0</formula1>
    </dataValidation>
    <dataValidation type="decimal" operator="greaterThan" allowBlank="1" showInputMessage="1" showErrorMessage="1" errorTitle="Eingabefehler" error="Die Wandlänge muss größer als 0 sein!" sqref="O36:O37 N36:N38 M36:M37" xr:uid="{00000000-0002-0000-0500-00001B000000}">
      <formula1>0</formula1>
    </dataValidation>
  </dataValidations>
  <printOptions horizontalCentered="1" verticalCentered="1"/>
  <pageMargins left="0.98425196850393704" right="0.98425196850393704" top="0.70866141732283472" bottom="0.47244094488188981" header="0.31496062992125984" footer="0.19685039370078741"/>
  <pageSetup paperSize="9" scale="64" fitToHeight="0" orientation="landscape" horizontalDpi="4294967293" verticalDpi="1200" r:id="rId1"/>
  <headerFooter>
    <oddHeader>&amp;L&amp;"-,Fett"&amp;K000000
&amp;14N&amp;YRd&amp;Y-Pro Tool&amp;R&amp;G</oddHeader>
    <oddFooter>&amp;R&amp;P von &amp;N</oddFooter>
  </headerFooter>
  <rowBreaks count="5" manualBreakCount="5">
    <brk id="55" min="10" max="16" man="1"/>
    <brk id="87" min="10" max="16" man="1"/>
    <brk id="128" min="10" max="16" man="1"/>
    <brk id="170" min="10" max="16" man="1"/>
    <brk id="216" min="10" max="16"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7649" r:id="rId5" name="Drop Down 1">
              <controlPr defaultSize="0" autoLine="0" autoPict="0">
                <anchor moveWithCells="1">
                  <from>
                    <xdr:col>12</xdr:col>
                    <xdr:colOff>38100</xdr:colOff>
                    <xdr:row>29</xdr:row>
                    <xdr:rowOff>38100</xdr:rowOff>
                  </from>
                  <to>
                    <xdr:col>12</xdr:col>
                    <xdr:colOff>2286000</xdr:colOff>
                    <xdr:row>30</xdr:row>
                    <xdr:rowOff>0</xdr:rowOff>
                  </to>
                </anchor>
              </controlPr>
            </control>
          </mc:Choice>
        </mc:AlternateContent>
        <mc:AlternateContent xmlns:mc="http://schemas.openxmlformats.org/markup-compatibility/2006">
          <mc:Choice Requires="x14">
            <control shapeId="27650" r:id="rId6" name="Drop Down 2">
              <controlPr defaultSize="0" autoLine="0" autoPict="0">
                <anchor moveWithCells="1">
                  <from>
                    <xdr:col>13</xdr:col>
                    <xdr:colOff>47625</xdr:colOff>
                    <xdr:row>29</xdr:row>
                    <xdr:rowOff>38100</xdr:rowOff>
                  </from>
                  <to>
                    <xdr:col>13</xdr:col>
                    <xdr:colOff>2286000</xdr:colOff>
                    <xdr:row>30</xdr:row>
                    <xdr:rowOff>0</xdr:rowOff>
                  </to>
                </anchor>
              </controlPr>
            </control>
          </mc:Choice>
        </mc:AlternateContent>
        <mc:AlternateContent xmlns:mc="http://schemas.openxmlformats.org/markup-compatibility/2006">
          <mc:Choice Requires="x14">
            <control shapeId="27651" r:id="rId7" name="Drop Down 3">
              <controlPr defaultSize="0" autoLine="0" autoPict="0">
                <anchor moveWithCells="1">
                  <from>
                    <xdr:col>14</xdr:col>
                    <xdr:colOff>47625</xdr:colOff>
                    <xdr:row>29</xdr:row>
                    <xdr:rowOff>38100</xdr:rowOff>
                  </from>
                  <to>
                    <xdr:col>14</xdr:col>
                    <xdr:colOff>2286000</xdr:colOff>
                    <xdr:row>30</xdr:row>
                    <xdr:rowOff>0</xdr:rowOff>
                  </to>
                </anchor>
              </controlPr>
            </control>
          </mc:Choice>
        </mc:AlternateContent>
        <mc:AlternateContent xmlns:mc="http://schemas.openxmlformats.org/markup-compatibility/2006">
          <mc:Choice Requires="x14">
            <control shapeId="27652" r:id="rId8" name="Drop Down 4">
              <controlPr defaultSize="0" autoLine="0" autoPict="0">
                <anchor moveWithCells="1">
                  <from>
                    <xdr:col>13</xdr:col>
                    <xdr:colOff>47625</xdr:colOff>
                    <xdr:row>38</xdr:row>
                    <xdr:rowOff>19050</xdr:rowOff>
                  </from>
                  <to>
                    <xdr:col>13</xdr:col>
                    <xdr:colOff>2286000</xdr:colOff>
                    <xdr:row>39</xdr:row>
                    <xdr:rowOff>0</xdr:rowOff>
                  </to>
                </anchor>
              </controlPr>
            </control>
          </mc:Choice>
        </mc:AlternateContent>
        <mc:AlternateContent xmlns:mc="http://schemas.openxmlformats.org/markup-compatibility/2006">
          <mc:Choice Requires="x14">
            <control shapeId="27653" r:id="rId9" name="Drop Down 5">
              <controlPr defaultSize="0" autoLine="0" autoPict="0">
                <anchor moveWithCells="1">
                  <from>
                    <xdr:col>14</xdr:col>
                    <xdr:colOff>47625</xdr:colOff>
                    <xdr:row>38</xdr:row>
                    <xdr:rowOff>19050</xdr:rowOff>
                  </from>
                  <to>
                    <xdr:col>14</xdr:col>
                    <xdr:colOff>2286000</xdr:colOff>
                    <xdr:row>39</xdr:row>
                    <xdr:rowOff>0</xdr:rowOff>
                  </to>
                </anchor>
              </controlPr>
            </control>
          </mc:Choice>
        </mc:AlternateContent>
        <mc:AlternateContent xmlns:mc="http://schemas.openxmlformats.org/markup-compatibility/2006">
          <mc:Choice Requires="x14">
            <control shapeId="27654" r:id="rId10" name="Drop Down 6">
              <controlPr defaultSize="0" autoLine="0" autoPict="0">
                <anchor moveWithCells="1">
                  <from>
                    <xdr:col>12</xdr:col>
                    <xdr:colOff>47625</xdr:colOff>
                    <xdr:row>48</xdr:row>
                    <xdr:rowOff>19050</xdr:rowOff>
                  </from>
                  <to>
                    <xdr:col>12</xdr:col>
                    <xdr:colOff>2286000</xdr:colOff>
                    <xdr:row>49</xdr:row>
                    <xdr:rowOff>0</xdr:rowOff>
                  </to>
                </anchor>
              </controlPr>
            </control>
          </mc:Choice>
        </mc:AlternateContent>
        <mc:AlternateContent xmlns:mc="http://schemas.openxmlformats.org/markup-compatibility/2006">
          <mc:Choice Requires="x14">
            <control shapeId="27655" r:id="rId11" name="Drop Down 7">
              <controlPr defaultSize="0" autoLine="0" autoPict="0">
                <anchor moveWithCells="1">
                  <from>
                    <xdr:col>12</xdr:col>
                    <xdr:colOff>47625</xdr:colOff>
                    <xdr:row>49</xdr:row>
                    <xdr:rowOff>19050</xdr:rowOff>
                  </from>
                  <to>
                    <xdr:col>12</xdr:col>
                    <xdr:colOff>2286000</xdr:colOff>
                    <xdr:row>50</xdr:row>
                    <xdr:rowOff>0</xdr:rowOff>
                  </to>
                </anchor>
              </controlPr>
            </control>
          </mc:Choice>
        </mc:AlternateContent>
        <mc:AlternateContent xmlns:mc="http://schemas.openxmlformats.org/markup-compatibility/2006">
          <mc:Choice Requires="x14">
            <control shapeId="27656" r:id="rId12" name="Drop Down 8">
              <controlPr defaultSize="0" autoLine="0" autoPict="0">
                <anchor moveWithCells="1">
                  <from>
                    <xdr:col>12</xdr:col>
                    <xdr:colOff>47625</xdr:colOff>
                    <xdr:row>54</xdr:row>
                    <xdr:rowOff>9525</xdr:rowOff>
                  </from>
                  <to>
                    <xdr:col>12</xdr:col>
                    <xdr:colOff>2286000</xdr:colOff>
                    <xdr:row>54</xdr:row>
                    <xdr:rowOff>171450</xdr:rowOff>
                  </to>
                </anchor>
              </controlPr>
            </control>
          </mc:Choice>
        </mc:AlternateContent>
        <mc:AlternateContent xmlns:mc="http://schemas.openxmlformats.org/markup-compatibility/2006">
          <mc:Choice Requires="x14">
            <control shapeId="27657" r:id="rId13" name="Drop Down 9">
              <controlPr defaultSize="0" autoLine="0" autoPict="0">
                <anchor moveWithCells="1">
                  <from>
                    <xdr:col>13</xdr:col>
                    <xdr:colOff>47625</xdr:colOff>
                    <xdr:row>54</xdr:row>
                    <xdr:rowOff>9525</xdr:rowOff>
                  </from>
                  <to>
                    <xdr:col>13</xdr:col>
                    <xdr:colOff>2286000</xdr:colOff>
                    <xdr:row>54</xdr:row>
                    <xdr:rowOff>171450</xdr:rowOff>
                  </to>
                </anchor>
              </controlPr>
            </control>
          </mc:Choice>
        </mc:AlternateContent>
        <mc:AlternateContent xmlns:mc="http://schemas.openxmlformats.org/markup-compatibility/2006">
          <mc:Choice Requires="x14">
            <control shapeId="27658" r:id="rId14" name="Drop Down 10">
              <controlPr defaultSize="0" autoLine="0" autoPict="0">
                <anchor moveWithCells="1">
                  <from>
                    <xdr:col>14</xdr:col>
                    <xdr:colOff>47625</xdr:colOff>
                    <xdr:row>54</xdr:row>
                    <xdr:rowOff>9525</xdr:rowOff>
                  </from>
                  <to>
                    <xdr:col>14</xdr:col>
                    <xdr:colOff>2286000</xdr:colOff>
                    <xdr:row>54</xdr:row>
                    <xdr:rowOff>171450</xdr:rowOff>
                  </to>
                </anchor>
              </controlPr>
            </control>
          </mc:Choice>
        </mc:AlternateContent>
        <mc:AlternateContent xmlns:mc="http://schemas.openxmlformats.org/markup-compatibility/2006">
          <mc:Choice Requires="x14">
            <control shapeId="27659" r:id="rId15" name="Drop Down 11">
              <controlPr defaultSize="0" autoLine="0" autoPict="0">
                <anchor moveWithCells="1">
                  <from>
                    <xdr:col>15</xdr:col>
                    <xdr:colOff>47625</xdr:colOff>
                    <xdr:row>54</xdr:row>
                    <xdr:rowOff>9525</xdr:rowOff>
                  </from>
                  <to>
                    <xdr:col>15</xdr:col>
                    <xdr:colOff>2286000</xdr:colOff>
                    <xdr:row>54</xdr:row>
                    <xdr:rowOff>171450</xdr:rowOff>
                  </to>
                </anchor>
              </controlPr>
            </control>
          </mc:Choice>
        </mc:AlternateContent>
        <mc:AlternateContent xmlns:mc="http://schemas.openxmlformats.org/markup-compatibility/2006">
          <mc:Choice Requires="x14">
            <control shapeId="27660" r:id="rId16" name="Drop Down 12">
              <controlPr defaultSize="0" autoLine="0" autoPict="0">
                <anchor moveWithCells="1">
                  <from>
                    <xdr:col>13</xdr:col>
                    <xdr:colOff>47625</xdr:colOff>
                    <xdr:row>48</xdr:row>
                    <xdr:rowOff>19050</xdr:rowOff>
                  </from>
                  <to>
                    <xdr:col>13</xdr:col>
                    <xdr:colOff>2286000</xdr:colOff>
                    <xdr:row>49</xdr:row>
                    <xdr:rowOff>0</xdr:rowOff>
                  </to>
                </anchor>
              </controlPr>
            </control>
          </mc:Choice>
        </mc:AlternateContent>
        <mc:AlternateContent xmlns:mc="http://schemas.openxmlformats.org/markup-compatibility/2006">
          <mc:Choice Requires="x14">
            <control shapeId="27661" r:id="rId17" name="Drop Down 13">
              <controlPr defaultSize="0" autoLine="0" autoPict="0">
                <anchor moveWithCells="1">
                  <from>
                    <xdr:col>14</xdr:col>
                    <xdr:colOff>47625</xdr:colOff>
                    <xdr:row>48</xdr:row>
                    <xdr:rowOff>19050</xdr:rowOff>
                  </from>
                  <to>
                    <xdr:col>14</xdr:col>
                    <xdr:colOff>2286000</xdr:colOff>
                    <xdr:row>49</xdr:row>
                    <xdr:rowOff>0</xdr:rowOff>
                  </to>
                </anchor>
              </controlPr>
            </control>
          </mc:Choice>
        </mc:AlternateContent>
        <mc:AlternateContent xmlns:mc="http://schemas.openxmlformats.org/markup-compatibility/2006">
          <mc:Choice Requires="x14">
            <control shapeId="27662" r:id="rId18" name="Drop Down 14">
              <controlPr defaultSize="0" autoLine="0" autoPict="0">
                <anchor moveWithCells="1">
                  <from>
                    <xdr:col>15</xdr:col>
                    <xdr:colOff>47625</xdr:colOff>
                    <xdr:row>48</xdr:row>
                    <xdr:rowOff>19050</xdr:rowOff>
                  </from>
                  <to>
                    <xdr:col>15</xdr:col>
                    <xdr:colOff>2286000</xdr:colOff>
                    <xdr:row>49</xdr:row>
                    <xdr:rowOff>0</xdr:rowOff>
                  </to>
                </anchor>
              </controlPr>
            </control>
          </mc:Choice>
        </mc:AlternateContent>
        <mc:AlternateContent xmlns:mc="http://schemas.openxmlformats.org/markup-compatibility/2006">
          <mc:Choice Requires="x14">
            <control shapeId="27663" r:id="rId19" name="Drop Down 15">
              <controlPr defaultSize="0" autoLine="0" autoPict="0">
                <anchor moveWithCells="1">
                  <from>
                    <xdr:col>13</xdr:col>
                    <xdr:colOff>47625</xdr:colOff>
                    <xdr:row>49</xdr:row>
                    <xdr:rowOff>19050</xdr:rowOff>
                  </from>
                  <to>
                    <xdr:col>13</xdr:col>
                    <xdr:colOff>2286000</xdr:colOff>
                    <xdr:row>50</xdr:row>
                    <xdr:rowOff>0</xdr:rowOff>
                  </to>
                </anchor>
              </controlPr>
            </control>
          </mc:Choice>
        </mc:AlternateContent>
        <mc:AlternateContent xmlns:mc="http://schemas.openxmlformats.org/markup-compatibility/2006">
          <mc:Choice Requires="x14">
            <control shapeId="27664" r:id="rId20" name="Drop Down 16">
              <controlPr defaultSize="0" autoLine="0" autoPict="0">
                <anchor moveWithCells="1">
                  <from>
                    <xdr:col>14</xdr:col>
                    <xdr:colOff>47625</xdr:colOff>
                    <xdr:row>49</xdr:row>
                    <xdr:rowOff>19050</xdr:rowOff>
                  </from>
                  <to>
                    <xdr:col>14</xdr:col>
                    <xdr:colOff>2286000</xdr:colOff>
                    <xdr:row>50</xdr:row>
                    <xdr:rowOff>0</xdr:rowOff>
                  </to>
                </anchor>
              </controlPr>
            </control>
          </mc:Choice>
        </mc:AlternateContent>
        <mc:AlternateContent xmlns:mc="http://schemas.openxmlformats.org/markup-compatibility/2006">
          <mc:Choice Requires="x14">
            <control shapeId="27665" r:id="rId21" name="Drop Down 17">
              <controlPr defaultSize="0" autoLine="0" autoPict="0">
                <anchor moveWithCells="1">
                  <from>
                    <xdr:col>15</xdr:col>
                    <xdr:colOff>47625</xdr:colOff>
                    <xdr:row>49</xdr:row>
                    <xdr:rowOff>19050</xdr:rowOff>
                  </from>
                  <to>
                    <xdr:col>15</xdr:col>
                    <xdr:colOff>2286000</xdr:colOff>
                    <xdr:row>50</xdr:row>
                    <xdr:rowOff>0</xdr:rowOff>
                  </to>
                </anchor>
              </controlPr>
            </control>
          </mc:Choice>
        </mc:AlternateContent>
        <mc:AlternateContent xmlns:mc="http://schemas.openxmlformats.org/markup-compatibility/2006">
          <mc:Choice Requires="x14">
            <control shapeId="27666" r:id="rId22" name="Drop Down 18">
              <controlPr defaultSize="0" autoLine="0" autoPict="0">
                <anchor moveWithCells="1">
                  <from>
                    <xdr:col>12</xdr:col>
                    <xdr:colOff>38100</xdr:colOff>
                    <xdr:row>30</xdr:row>
                    <xdr:rowOff>38100</xdr:rowOff>
                  </from>
                  <to>
                    <xdr:col>12</xdr:col>
                    <xdr:colOff>2286000</xdr:colOff>
                    <xdr:row>31</xdr:row>
                    <xdr:rowOff>0</xdr:rowOff>
                  </to>
                </anchor>
              </controlPr>
            </control>
          </mc:Choice>
        </mc:AlternateContent>
        <mc:AlternateContent xmlns:mc="http://schemas.openxmlformats.org/markup-compatibility/2006">
          <mc:Choice Requires="x14">
            <control shapeId="27667" r:id="rId23" name="Drop Down 19">
              <controlPr defaultSize="0" autoLine="0" autoPict="0">
                <anchor moveWithCells="1">
                  <from>
                    <xdr:col>12</xdr:col>
                    <xdr:colOff>38100</xdr:colOff>
                    <xdr:row>28</xdr:row>
                    <xdr:rowOff>38100</xdr:rowOff>
                  </from>
                  <to>
                    <xdr:col>12</xdr:col>
                    <xdr:colOff>2286000</xdr:colOff>
                    <xdr:row>28</xdr:row>
                    <xdr:rowOff>200025</xdr:rowOff>
                  </to>
                </anchor>
              </controlPr>
            </control>
          </mc:Choice>
        </mc:AlternateContent>
        <mc:AlternateContent xmlns:mc="http://schemas.openxmlformats.org/markup-compatibility/2006">
          <mc:Choice Requires="x14">
            <control shapeId="27668" r:id="rId24" name="Drop Down 20">
              <controlPr defaultSize="0" autoLine="0" autoPict="0">
                <anchor moveWithCells="1">
                  <from>
                    <xdr:col>13</xdr:col>
                    <xdr:colOff>47625</xdr:colOff>
                    <xdr:row>28</xdr:row>
                    <xdr:rowOff>38100</xdr:rowOff>
                  </from>
                  <to>
                    <xdr:col>13</xdr:col>
                    <xdr:colOff>2286000</xdr:colOff>
                    <xdr:row>28</xdr:row>
                    <xdr:rowOff>200025</xdr:rowOff>
                  </to>
                </anchor>
              </controlPr>
            </control>
          </mc:Choice>
        </mc:AlternateContent>
        <mc:AlternateContent xmlns:mc="http://schemas.openxmlformats.org/markup-compatibility/2006">
          <mc:Choice Requires="x14">
            <control shapeId="27669" r:id="rId25" name="Drop Down 21">
              <controlPr defaultSize="0" autoLine="0" autoPict="0">
                <anchor moveWithCells="1">
                  <from>
                    <xdr:col>14</xdr:col>
                    <xdr:colOff>47625</xdr:colOff>
                    <xdr:row>28</xdr:row>
                    <xdr:rowOff>38100</xdr:rowOff>
                  </from>
                  <to>
                    <xdr:col>14</xdr:col>
                    <xdr:colOff>2286000</xdr:colOff>
                    <xdr:row>28</xdr:row>
                    <xdr:rowOff>200025</xdr:rowOff>
                  </to>
                </anchor>
              </controlPr>
            </control>
          </mc:Choice>
        </mc:AlternateContent>
        <mc:AlternateContent xmlns:mc="http://schemas.openxmlformats.org/markup-compatibility/2006">
          <mc:Choice Requires="x14">
            <control shapeId="27670" r:id="rId26" name="Check Box 22">
              <controlPr defaultSize="0" autoFill="0" autoLine="0" autoPict="0" altText="N in Wandmitt und -fuß automatisch berechnen">
                <anchor moveWithCells="1">
                  <from>
                    <xdr:col>12</xdr:col>
                    <xdr:colOff>57150</xdr:colOff>
                    <xdr:row>69</xdr:row>
                    <xdr:rowOff>0</xdr:rowOff>
                  </from>
                  <to>
                    <xdr:col>13</xdr:col>
                    <xdr:colOff>1438275</xdr:colOff>
                    <xdr:row>70</xdr:row>
                    <xdr:rowOff>9525</xdr:rowOff>
                  </to>
                </anchor>
              </controlPr>
            </control>
          </mc:Choice>
        </mc:AlternateContent>
        <mc:AlternateContent xmlns:mc="http://schemas.openxmlformats.org/markup-compatibility/2006">
          <mc:Choice Requires="x14">
            <control shapeId="27671" r:id="rId27" name="Drop Down 23">
              <controlPr defaultSize="0" autoLine="0" autoPict="0">
                <anchor moveWithCells="1">
                  <from>
                    <xdr:col>13</xdr:col>
                    <xdr:colOff>47625</xdr:colOff>
                    <xdr:row>40</xdr:row>
                    <xdr:rowOff>19050</xdr:rowOff>
                  </from>
                  <to>
                    <xdr:col>13</xdr:col>
                    <xdr:colOff>2286000</xdr:colOff>
                    <xdr:row>41</xdr:row>
                    <xdr:rowOff>0</xdr:rowOff>
                  </to>
                </anchor>
              </controlPr>
            </control>
          </mc:Choice>
        </mc:AlternateContent>
        <mc:AlternateContent xmlns:mc="http://schemas.openxmlformats.org/markup-compatibility/2006">
          <mc:Choice Requires="x14">
            <control shapeId="27672" r:id="rId28" name="Check Box 24">
              <controlPr defaultSize="0" autoFill="0" autoLine="0" autoPict="0">
                <anchor moveWithCells="1">
                  <from>
                    <xdr:col>10</xdr:col>
                    <xdr:colOff>2847975</xdr:colOff>
                    <xdr:row>40</xdr:row>
                    <xdr:rowOff>171450</xdr:rowOff>
                  </from>
                  <to>
                    <xdr:col>11</xdr:col>
                    <xdr:colOff>0</xdr:colOff>
                    <xdr:row>41</xdr:row>
                    <xdr:rowOff>190500</xdr:rowOff>
                  </to>
                </anchor>
              </controlPr>
            </control>
          </mc:Choice>
        </mc:AlternateContent>
        <mc:AlternateContent xmlns:mc="http://schemas.openxmlformats.org/markup-compatibility/2006">
          <mc:Choice Requires="x14">
            <control shapeId="27673" r:id="rId29" name="Check Box 25">
              <controlPr defaultSize="0" autoFill="0" autoLine="0" autoPict="0">
                <anchor moveWithCells="1">
                  <from>
                    <xdr:col>10</xdr:col>
                    <xdr:colOff>2847975</xdr:colOff>
                    <xdr:row>42</xdr:row>
                    <xdr:rowOff>0</xdr:rowOff>
                  </from>
                  <to>
                    <xdr:col>11</xdr:col>
                    <xdr:colOff>0</xdr:colOff>
                    <xdr:row>43</xdr:row>
                    <xdr:rowOff>0</xdr:rowOff>
                  </to>
                </anchor>
              </controlPr>
            </control>
          </mc:Choice>
        </mc:AlternateContent>
        <mc:AlternateContent xmlns:mc="http://schemas.openxmlformats.org/markup-compatibility/2006">
          <mc:Choice Requires="x14">
            <control shapeId="27674" r:id="rId30" name="Check Box 26">
              <controlPr defaultSize="0" autoFill="0" autoLine="0" autoPict="0">
                <anchor moveWithCells="1">
                  <from>
                    <xdr:col>10</xdr:col>
                    <xdr:colOff>2847975</xdr:colOff>
                    <xdr:row>40</xdr:row>
                    <xdr:rowOff>171450</xdr:rowOff>
                  </from>
                  <to>
                    <xdr:col>11</xdr:col>
                    <xdr:colOff>0</xdr:colOff>
                    <xdr:row>41</xdr:row>
                    <xdr:rowOff>200025</xdr:rowOff>
                  </to>
                </anchor>
              </controlPr>
            </control>
          </mc:Choice>
        </mc:AlternateContent>
        <mc:AlternateContent xmlns:mc="http://schemas.openxmlformats.org/markup-compatibility/2006">
          <mc:Choice Requires="x14">
            <control shapeId="27675" r:id="rId31" name="Check Box 27">
              <controlPr defaultSize="0" autoFill="0" autoLine="0" autoPict="0">
                <anchor moveWithCells="1">
                  <from>
                    <xdr:col>11</xdr:col>
                    <xdr:colOff>38100</xdr:colOff>
                    <xdr:row>128</xdr:row>
                    <xdr:rowOff>0</xdr:rowOff>
                  </from>
                  <to>
                    <xdr:col>11</xdr:col>
                    <xdr:colOff>219075</xdr:colOff>
                    <xdr:row>129</xdr:row>
                    <xdr:rowOff>0</xdr:rowOff>
                  </to>
                </anchor>
              </controlPr>
            </control>
          </mc:Choice>
        </mc:AlternateContent>
        <mc:AlternateContent xmlns:mc="http://schemas.openxmlformats.org/markup-compatibility/2006">
          <mc:Choice Requires="x14">
            <control shapeId="27676" r:id="rId32" name="Drop Down 28">
              <controlPr defaultSize="0" autoLine="0" autoPict="0">
                <anchor moveWithCells="1">
                  <from>
                    <xdr:col>13</xdr:col>
                    <xdr:colOff>47625</xdr:colOff>
                    <xdr:row>36</xdr:row>
                    <xdr:rowOff>19050</xdr:rowOff>
                  </from>
                  <to>
                    <xdr:col>13</xdr:col>
                    <xdr:colOff>2286000</xdr:colOff>
                    <xdr:row>37</xdr:row>
                    <xdr:rowOff>0</xdr:rowOff>
                  </to>
                </anchor>
              </controlPr>
            </control>
          </mc:Choice>
        </mc:AlternateContent>
        <mc:AlternateContent xmlns:mc="http://schemas.openxmlformats.org/markup-compatibility/2006">
          <mc:Choice Requires="x14">
            <control shapeId="27677" r:id="rId33" name="Drop Down 29">
              <controlPr defaultSize="0" autoLine="0" autoPict="0">
                <anchor moveWithCells="1">
                  <from>
                    <xdr:col>13</xdr:col>
                    <xdr:colOff>47625</xdr:colOff>
                    <xdr:row>31</xdr:row>
                    <xdr:rowOff>19050</xdr:rowOff>
                  </from>
                  <to>
                    <xdr:col>13</xdr:col>
                    <xdr:colOff>2286000</xdr:colOff>
                    <xdr:row>32</xdr:row>
                    <xdr:rowOff>0</xdr:rowOff>
                  </to>
                </anchor>
              </controlPr>
            </control>
          </mc:Choice>
        </mc:AlternateContent>
        <mc:AlternateContent xmlns:mc="http://schemas.openxmlformats.org/markup-compatibility/2006">
          <mc:Choice Requires="x14">
            <control shapeId="27678" r:id="rId34" name="Drop Down 30">
              <controlPr defaultSize="0" autoLine="0" autoPict="0">
                <anchor moveWithCells="1">
                  <from>
                    <xdr:col>14</xdr:col>
                    <xdr:colOff>66675</xdr:colOff>
                    <xdr:row>71</xdr:row>
                    <xdr:rowOff>9525</xdr:rowOff>
                  </from>
                  <to>
                    <xdr:col>14</xdr:col>
                    <xdr:colOff>2305050</xdr:colOff>
                    <xdr:row>71</xdr:row>
                    <xdr:rowOff>171450</xdr:rowOff>
                  </to>
                </anchor>
              </controlPr>
            </control>
          </mc:Choice>
        </mc:AlternateContent>
        <mc:AlternateContent xmlns:mc="http://schemas.openxmlformats.org/markup-compatibility/2006">
          <mc:Choice Requires="x14">
            <control shapeId="27679" r:id="rId35" name="Drop Down 31">
              <controlPr defaultSize="0" autoLine="0" autoPict="0">
                <anchor moveWithCells="1">
                  <from>
                    <xdr:col>15</xdr:col>
                    <xdr:colOff>47625</xdr:colOff>
                    <xdr:row>69</xdr:row>
                    <xdr:rowOff>9525</xdr:rowOff>
                  </from>
                  <to>
                    <xdr:col>15</xdr:col>
                    <xdr:colOff>2286000</xdr:colOff>
                    <xdr:row>69</xdr:row>
                    <xdr:rowOff>171450</xdr:rowOff>
                  </to>
                </anchor>
              </controlPr>
            </control>
          </mc:Choice>
        </mc:AlternateContent>
        <mc:AlternateContent xmlns:mc="http://schemas.openxmlformats.org/markup-compatibility/2006">
          <mc:Choice Requires="x14">
            <control shapeId="27680" r:id="rId36" name="Drop Down 32">
              <controlPr defaultSize="0" autoLine="0" autoPict="0">
                <anchor moveWithCells="1">
                  <from>
                    <xdr:col>12</xdr:col>
                    <xdr:colOff>38100</xdr:colOff>
                    <xdr:row>39</xdr:row>
                    <xdr:rowOff>19050</xdr:rowOff>
                  </from>
                  <to>
                    <xdr:col>12</xdr:col>
                    <xdr:colOff>2286000</xdr:colOff>
                    <xdr:row>40</xdr:row>
                    <xdr:rowOff>0</xdr:rowOff>
                  </to>
                </anchor>
              </controlPr>
            </control>
          </mc:Choice>
        </mc:AlternateContent>
        <mc:AlternateContent xmlns:mc="http://schemas.openxmlformats.org/markup-compatibility/2006">
          <mc:Choice Requires="x14">
            <control shapeId="27681" r:id="rId37" name="Drop Down 33">
              <controlPr defaultSize="0" autoLine="0" autoPict="0">
                <anchor moveWithCells="1">
                  <from>
                    <xdr:col>13</xdr:col>
                    <xdr:colOff>47625</xdr:colOff>
                    <xdr:row>39</xdr:row>
                    <xdr:rowOff>19050</xdr:rowOff>
                  </from>
                  <to>
                    <xdr:col>13</xdr:col>
                    <xdr:colOff>2286000</xdr:colOff>
                    <xdr:row>40</xdr:row>
                    <xdr:rowOff>0</xdr:rowOff>
                  </to>
                </anchor>
              </controlPr>
            </control>
          </mc:Choice>
        </mc:AlternateContent>
        <mc:AlternateContent xmlns:mc="http://schemas.openxmlformats.org/markup-compatibility/2006">
          <mc:Choice Requires="x14">
            <control shapeId="27682" r:id="rId38" name="Drop Down 34">
              <controlPr defaultSize="0" autoLine="0" autoPict="0">
                <anchor moveWithCells="1">
                  <from>
                    <xdr:col>13</xdr:col>
                    <xdr:colOff>47625</xdr:colOff>
                    <xdr:row>37</xdr:row>
                    <xdr:rowOff>19050</xdr:rowOff>
                  </from>
                  <to>
                    <xdr:col>13</xdr:col>
                    <xdr:colOff>2286000</xdr:colOff>
                    <xdr:row>38</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3">
    <tabColor rgb="FFFFFF00"/>
    <pageSetUpPr fitToPage="1"/>
  </sheetPr>
  <dimension ref="G1:AH124"/>
  <sheetViews>
    <sheetView topLeftCell="K1" zoomScaleNormal="100" zoomScaleSheetLayoutView="100" workbookViewId="0">
      <pane xSplit="2" ySplit="13" topLeftCell="M14" activePane="bottomRight" state="frozen"/>
      <selection activeCell="L24" sqref="L24:P24"/>
      <selection pane="topRight" activeCell="L24" sqref="L24:P24"/>
      <selection pane="bottomLeft" activeCell="L24" sqref="L24:P24"/>
      <selection pane="bottomRight" activeCell="R112" sqref="R112"/>
    </sheetView>
  </sheetViews>
  <sheetFormatPr baseColWidth="10" defaultColWidth="11" defaultRowHeight="12.75" x14ac:dyDescent="0.2"/>
  <cols>
    <col min="1" max="6" width="1.5" style="4" customWidth="1"/>
    <col min="7" max="7" width="3.75" style="4" customWidth="1"/>
    <col min="8" max="10" width="1.625" style="4" customWidth="1"/>
    <col min="11" max="11" width="38.875" style="4" bestFit="1" customWidth="1"/>
    <col min="12" max="14" width="11" style="7" customWidth="1"/>
    <col min="15" max="15" width="14.75" style="7" customWidth="1"/>
    <col min="16" max="16" width="11.75" style="7" customWidth="1"/>
    <col min="17" max="17" width="10.375" style="7" customWidth="1"/>
    <col min="18" max="18" width="12.75" style="7" customWidth="1"/>
    <col min="19" max="19" width="16.625" style="454" customWidth="1"/>
    <col min="20" max="20" width="9.875" style="7" customWidth="1"/>
    <col min="21" max="22" width="11" style="7" customWidth="1"/>
    <col min="23" max="23" width="15.875" style="7" customWidth="1"/>
    <col min="24" max="32" width="14.75" style="4" customWidth="1"/>
    <col min="33" max="33" width="11" style="4" customWidth="1"/>
    <col min="34" max="16384" width="11" style="4"/>
  </cols>
  <sheetData>
    <row r="1" spans="7:34" ht="8.1" customHeight="1" x14ac:dyDescent="0.2"/>
    <row r="2" spans="7:34" x14ac:dyDescent="0.2">
      <c r="L2" s="8" t="s">
        <v>151</v>
      </c>
      <c r="M2" s="9"/>
      <c r="N2" s="9"/>
      <c r="O2" s="9"/>
      <c r="P2" s="9"/>
      <c r="Q2" s="9"/>
      <c r="R2" s="9"/>
      <c r="S2" s="455"/>
      <c r="T2" s="9"/>
      <c r="U2" s="9"/>
      <c r="V2" s="10"/>
    </row>
    <row r="3" spans="7:34" x14ac:dyDescent="0.2">
      <c r="L3" s="11" t="s">
        <v>148</v>
      </c>
      <c r="M3" s="12" t="s">
        <v>152</v>
      </c>
      <c r="N3" s="13"/>
      <c r="O3" s="13"/>
      <c r="P3" s="13"/>
      <c r="Q3" s="13"/>
      <c r="R3" s="13"/>
      <c r="S3" s="52"/>
      <c r="T3" s="13"/>
      <c r="U3" s="13"/>
      <c r="V3" s="14"/>
    </row>
    <row r="4" spans="7:34" x14ac:dyDescent="0.2">
      <c r="L4" s="15" t="s">
        <v>149</v>
      </c>
      <c r="M4" s="12" t="s">
        <v>153</v>
      </c>
      <c r="N4" s="13"/>
      <c r="O4" s="13"/>
      <c r="P4" s="13"/>
      <c r="Q4" s="13"/>
      <c r="R4" s="13"/>
      <c r="S4" s="52"/>
      <c r="T4" s="13"/>
      <c r="U4" s="13"/>
      <c r="V4" s="14"/>
    </row>
    <row r="5" spans="7:34" x14ac:dyDescent="0.2">
      <c r="L5" s="15" t="s">
        <v>150</v>
      </c>
      <c r="M5" s="12" t="s">
        <v>154</v>
      </c>
      <c r="N5" s="13"/>
      <c r="O5" s="13"/>
      <c r="P5" s="13"/>
      <c r="Q5" s="13"/>
      <c r="R5" s="13"/>
      <c r="S5" s="52"/>
      <c r="T5" s="13"/>
      <c r="U5" s="13"/>
      <c r="V5" s="14"/>
    </row>
    <row r="6" spans="7:34" x14ac:dyDescent="0.2">
      <c r="L6" s="15" t="s">
        <v>155</v>
      </c>
      <c r="M6" s="12" t="s">
        <v>156</v>
      </c>
      <c r="N6" s="13"/>
      <c r="O6" s="13"/>
      <c r="P6" s="13"/>
      <c r="Q6" s="13"/>
      <c r="R6" s="13"/>
      <c r="S6" s="52"/>
      <c r="T6" s="13"/>
      <c r="U6" s="13"/>
      <c r="V6" s="14"/>
    </row>
    <row r="7" spans="7:34" x14ac:dyDescent="0.2">
      <c r="K7" s="16"/>
      <c r="L7" s="17" t="s">
        <v>157</v>
      </c>
      <c r="M7" s="18" t="s">
        <v>159</v>
      </c>
      <c r="N7" s="19"/>
      <c r="O7" s="19"/>
      <c r="P7" s="19"/>
      <c r="Q7" s="19"/>
      <c r="R7" s="19"/>
      <c r="S7" s="456"/>
      <c r="T7" s="19"/>
      <c r="U7" s="19"/>
      <c r="V7" s="20"/>
    </row>
    <row r="8" spans="7:34" x14ac:dyDescent="0.2">
      <c r="L8" s="21" t="s">
        <v>158</v>
      </c>
      <c r="M8" s="22" t="s">
        <v>167</v>
      </c>
      <c r="N8" s="23"/>
      <c r="O8" s="23"/>
      <c r="P8" s="23"/>
      <c r="Q8" s="23"/>
      <c r="R8" s="23"/>
      <c r="S8" s="457"/>
      <c r="T8" s="23"/>
      <c r="U8" s="23"/>
      <c r="V8" s="24"/>
    </row>
    <row r="9" spans="7:34" x14ac:dyDescent="0.2">
      <c r="L9" s="25"/>
    </row>
    <row r="10" spans="7:34" x14ac:dyDescent="0.2">
      <c r="L10" s="7">
        <v>1</v>
      </c>
      <c r="M10" s="7">
        <v>2</v>
      </c>
      <c r="N10" s="7">
        <v>3</v>
      </c>
      <c r="O10" s="7">
        <v>4</v>
      </c>
      <c r="P10" s="7">
        <v>5</v>
      </c>
      <c r="Q10" s="7">
        <v>6</v>
      </c>
      <c r="R10" s="7">
        <v>7</v>
      </c>
      <c r="S10" s="454">
        <v>8</v>
      </c>
      <c r="T10" s="7">
        <v>9</v>
      </c>
      <c r="U10" s="7">
        <v>10</v>
      </c>
      <c r="V10" s="7">
        <v>11</v>
      </c>
      <c r="W10" s="7">
        <v>12</v>
      </c>
      <c r="X10" s="7">
        <v>13</v>
      </c>
      <c r="Y10" s="7">
        <v>14</v>
      </c>
      <c r="Z10" s="7">
        <v>15</v>
      </c>
      <c r="AA10" s="7">
        <v>16</v>
      </c>
      <c r="AB10" s="7">
        <v>17</v>
      </c>
      <c r="AC10" s="7">
        <v>18</v>
      </c>
      <c r="AD10" s="7">
        <v>19</v>
      </c>
      <c r="AE10" s="7">
        <v>20</v>
      </c>
      <c r="AF10" s="7">
        <v>21</v>
      </c>
      <c r="AG10" s="7">
        <v>22</v>
      </c>
    </row>
    <row r="11" spans="7:34" ht="52.5" x14ac:dyDescent="0.2">
      <c r="K11" s="386" t="s">
        <v>655</v>
      </c>
      <c r="L11" s="78" t="s">
        <v>404</v>
      </c>
      <c r="M11" s="28" t="s">
        <v>405</v>
      </c>
      <c r="N11" s="27" t="s">
        <v>406</v>
      </c>
      <c r="O11" s="27" t="s">
        <v>407</v>
      </c>
      <c r="P11" s="27" t="s">
        <v>408</v>
      </c>
      <c r="Q11" s="28" t="s">
        <v>409</v>
      </c>
      <c r="R11" s="28" t="s">
        <v>410</v>
      </c>
      <c r="S11" s="27" t="s">
        <v>461</v>
      </c>
      <c r="T11" s="28" t="s">
        <v>411</v>
      </c>
      <c r="U11" s="28" t="s">
        <v>412</v>
      </c>
      <c r="V11" s="29" t="s">
        <v>413</v>
      </c>
      <c r="W11" s="29" t="s">
        <v>414</v>
      </c>
      <c r="X11" s="105" t="s">
        <v>415</v>
      </c>
      <c r="Y11" s="105" t="s">
        <v>575</v>
      </c>
      <c r="Z11" s="105" t="s">
        <v>579</v>
      </c>
      <c r="AA11" s="105" t="s">
        <v>576</v>
      </c>
      <c r="AB11" s="105" t="s">
        <v>580</v>
      </c>
      <c r="AC11" s="105" t="s">
        <v>577</v>
      </c>
      <c r="AD11" s="105" t="s">
        <v>581</v>
      </c>
      <c r="AE11" s="105" t="s">
        <v>578</v>
      </c>
      <c r="AF11" s="105" t="s">
        <v>582</v>
      </c>
      <c r="AG11" s="105" t="s">
        <v>508</v>
      </c>
      <c r="AH11" s="32"/>
    </row>
    <row r="12" spans="7:34" x14ac:dyDescent="0.2">
      <c r="K12" s="26"/>
      <c r="L12" s="110"/>
      <c r="M12" s="110"/>
      <c r="N12" s="111"/>
      <c r="O12" s="111"/>
      <c r="P12" s="111"/>
      <c r="Q12" s="110"/>
      <c r="R12" s="110"/>
      <c r="S12" s="111"/>
      <c r="T12" s="110"/>
      <c r="U12" s="110"/>
      <c r="V12" s="112"/>
      <c r="W12" s="112"/>
      <c r="X12" s="113"/>
      <c r="Y12" s="113"/>
      <c r="Z12" s="113"/>
      <c r="AA12" s="113"/>
      <c r="AB12" s="113"/>
      <c r="AC12" s="113"/>
      <c r="AD12" s="113"/>
      <c r="AE12" s="113"/>
      <c r="AF12" s="113"/>
      <c r="AG12" s="113"/>
      <c r="AH12" s="32"/>
    </row>
    <row r="13" spans="7:34" s="421" customFormat="1" ht="14.25" x14ac:dyDescent="0.2">
      <c r="G13" s="426">
        <f>COUNTA(rD1.BrickProducts01)</f>
        <v>33</v>
      </c>
      <c r="K13" s="421" t="s">
        <v>402</v>
      </c>
      <c r="L13" s="427"/>
      <c r="M13" s="427"/>
      <c r="N13" s="428" t="s">
        <v>132</v>
      </c>
      <c r="O13" s="428" t="s">
        <v>416</v>
      </c>
      <c r="P13" s="428" t="s">
        <v>416</v>
      </c>
      <c r="Q13" s="428" t="s">
        <v>131</v>
      </c>
      <c r="R13" s="428" t="s">
        <v>131</v>
      </c>
      <c r="S13" s="458" t="s">
        <v>130</v>
      </c>
      <c r="T13" s="428" t="s">
        <v>130</v>
      </c>
      <c r="U13" s="428"/>
      <c r="V13" s="428" t="s">
        <v>129</v>
      </c>
      <c r="W13" s="428" t="s">
        <v>129</v>
      </c>
      <c r="X13" s="428" t="s">
        <v>129</v>
      </c>
      <c r="Y13" s="428"/>
      <c r="Z13" s="428"/>
      <c r="AA13" s="428"/>
      <c r="AB13" s="428"/>
      <c r="AC13" s="428"/>
      <c r="AD13" s="428"/>
      <c r="AE13" s="428"/>
      <c r="AF13" s="428"/>
      <c r="AH13" s="416"/>
    </row>
    <row r="14" spans="7:34" s="421" customFormat="1" x14ac:dyDescent="0.2">
      <c r="K14" s="429" t="s">
        <v>638</v>
      </c>
      <c r="L14" s="417">
        <v>1041</v>
      </c>
      <c r="M14" s="430">
        <v>45762</v>
      </c>
      <c r="N14" s="418">
        <v>24</v>
      </c>
      <c r="O14" s="419">
        <v>248</v>
      </c>
      <c r="P14" s="419">
        <v>249</v>
      </c>
      <c r="Q14" s="414">
        <v>0.65</v>
      </c>
      <c r="R14" s="419">
        <v>6</v>
      </c>
      <c r="S14" s="459">
        <v>2.1</v>
      </c>
      <c r="T14" s="414">
        <v>0.22</v>
      </c>
      <c r="U14" s="414"/>
      <c r="V14" s="414">
        <v>179.99999999999997</v>
      </c>
      <c r="W14" s="414">
        <v>50</v>
      </c>
      <c r="X14" s="414">
        <v>229.99999999999997</v>
      </c>
      <c r="Y14" s="414">
        <v>0.7</v>
      </c>
      <c r="Z14" s="420"/>
      <c r="AA14" s="414">
        <v>0.7</v>
      </c>
      <c r="AB14" s="420"/>
      <c r="AC14" s="414">
        <v>0.7</v>
      </c>
      <c r="AD14" s="420"/>
      <c r="AE14" s="414"/>
      <c r="AF14" s="420"/>
      <c r="AG14" s="414">
        <v>35</v>
      </c>
      <c r="AH14" s="416"/>
    </row>
    <row r="15" spans="7:34" s="421" customFormat="1" x14ac:dyDescent="0.2">
      <c r="K15" s="416" t="s">
        <v>597</v>
      </c>
      <c r="L15" s="417">
        <v>1005</v>
      </c>
      <c r="M15" s="430">
        <v>45236</v>
      </c>
      <c r="N15" s="418">
        <v>24</v>
      </c>
      <c r="O15" s="419">
        <v>248</v>
      </c>
      <c r="P15" s="419">
        <v>249</v>
      </c>
      <c r="Q15" s="414">
        <v>0.55000000000000004</v>
      </c>
      <c r="R15" s="419">
        <v>6</v>
      </c>
      <c r="S15" s="459">
        <v>1.8</v>
      </c>
      <c r="T15" s="414">
        <v>0.22</v>
      </c>
      <c r="U15" s="414"/>
      <c r="V15" s="414">
        <f>N15/100*(Q15+0.1)*1000</f>
        <v>156</v>
      </c>
      <c r="W15" s="414">
        <v>50</v>
      </c>
      <c r="X15" s="414">
        <f>V15+W15</f>
        <v>206</v>
      </c>
      <c r="Y15" s="414"/>
      <c r="Z15" s="420"/>
      <c r="AA15" s="414"/>
      <c r="AB15" s="420"/>
      <c r="AC15" s="414">
        <v>0.62</v>
      </c>
      <c r="AD15" s="420">
        <v>3.7900000000000003E-2</v>
      </c>
      <c r="AE15" s="414"/>
      <c r="AF15" s="420"/>
      <c r="AG15" s="414"/>
      <c r="AH15" s="416"/>
    </row>
    <row r="16" spans="7:34" s="421" customFormat="1" x14ac:dyDescent="0.2">
      <c r="K16" s="416" t="s">
        <v>639</v>
      </c>
      <c r="L16" s="417" t="s">
        <v>633</v>
      </c>
      <c r="M16" s="431">
        <v>45454</v>
      </c>
      <c r="N16" s="432">
        <v>24</v>
      </c>
      <c r="O16" s="428">
        <v>248</v>
      </c>
      <c r="P16" s="428">
        <v>249</v>
      </c>
      <c r="Q16" s="428">
        <v>0.65</v>
      </c>
      <c r="R16" s="428">
        <v>6</v>
      </c>
      <c r="S16" s="458">
        <f>1.5*1.5/1.8</f>
        <v>1.25</v>
      </c>
      <c r="T16" s="428">
        <v>0.09</v>
      </c>
      <c r="U16" s="414"/>
      <c r="V16" s="414">
        <v>179.99999999999997</v>
      </c>
      <c r="W16" s="414">
        <v>50</v>
      </c>
      <c r="X16" s="414">
        <v>229.99999999999997</v>
      </c>
      <c r="Y16" s="414"/>
      <c r="Z16" s="420"/>
      <c r="AA16" s="414"/>
      <c r="AB16" s="420"/>
      <c r="AC16" s="414"/>
      <c r="AD16" s="420"/>
      <c r="AE16" s="414"/>
      <c r="AF16" s="420"/>
      <c r="AG16" s="414"/>
      <c r="AH16" s="416"/>
    </row>
    <row r="17" spans="11:34" s="421" customFormat="1" x14ac:dyDescent="0.2">
      <c r="K17" s="416" t="s">
        <v>444</v>
      </c>
      <c r="L17" s="417">
        <v>877</v>
      </c>
      <c r="M17" s="430">
        <v>45762</v>
      </c>
      <c r="N17" s="418">
        <v>24</v>
      </c>
      <c r="O17" s="419">
        <v>308</v>
      </c>
      <c r="P17" s="419">
        <v>249</v>
      </c>
      <c r="Q17" s="414">
        <v>0.65</v>
      </c>
      <c r="R17" s="419">
        <v>8</v>
      </c>
      <c r="S17" s="459">
        <v>2.1</v>
      </c>
      <c r="T17" s="414">
        <v>0.22</v>
      </c>
      <c r="U17" s="414"/>
      <c r="V17" s="414">
        <v>179.99999999999997</v>
      </c>
      <c r="W17" s="414">
        <v>50</v>
      </c>
      <c r="X17" s="414">
        <v>229.99999999999997</v>
      </c>
      <c r="Y17" s="414"/>
      <c r="Z17" s="420"/>
      <c r="AA17" s="414"/>
      <c r="AB17" s="420"/>
      <c r="AC17" s="414">
        <v>0.48</v>
      </c>
      <c r="AD17" s="420">
        <v>3.7900000000000003E-2</v>
      </c>
      <c r="AE17" s="414"/>
      <c r="AF17" s="420"/>
      <c r="AG17" s="414">
        <v>35</v>
      </c>
      <c r="AH17" s="416"/>
    </row>
    <row r="18" spans="11:34" s="421" customFormat="1" x14ac:dyDescent="0.2">
      <c r="K18" s="416" t="s">
        <v>446</v>
      </c>
      <c r="L18" s="417">
        <v>651</v>
      </c>
      <c r="M18" s="430">
        <v>45762</v>
      </c>
      <c r="N18" s="418">
        <v>24</v>
      </c>
      <c r="O18" s="419">
        <v>308</v>
      </c>
      <c r="P18" s="419">
        <v>249</v>
      </c>
      <c r="Q18" s="414">
        <v>0.7</v>
      </c>
      <c r="R18" s="419">
        <v>8</v>
      </c>
      <c r="S18" s="459">
        <v>3.1</v>
      </c>
      <c r="T18" s="414">
        <v>0.22</v>
      </c>
      <c r="U18" s="414"/>
      <c r="V18" s="414">
        <v>192</v>
      </c>
      <c r="W18" s="414">
        <v>50</v>
      </c>
      <c r="X18" s="414">
        <v>242</v>
      </c>
      <c r="Y18" s="414"/>
      <c r="Z18" s="420"/>
      <c r="AA18" s="414"/>
      <c r="AB18" s="420"/>
      <c r="AC18" s="414">
        <v>0.62</v>
      </c>
      <c r="AD18" s="420">
        <v>3.7900000000000003E-2</v>
      </c>
      <c r="AE18" s="414"/>
      <c r="AF18" s="420"/>
      <c r="AG18" s="414">
        <v>35</v>
      </c>
      <c r="AH18" s="416"/>
    </row>
    <row r="19" spans="11:34" s="429" customFormat="1" x14ac:dyDescent="0.2">
      <c r="K19" s="429" t="s">
        <v>627</v>
      </c>
      <c r="L19" s="417">
        <v>490</v>
      </c>
      <c r="M19" s="430">
        <v>44937</v>
      </c>
      <c r="N19" s="418">
        <v>17.5</v>
      </c>
      <c r="O19" s="419">
        <v>373</v>
      </c>
      <c r="P19" s="419">
        <v>249</v>
      </c>
      <c r="Q19" s="414">
        <v>0.8</v>
      </c>
      <c r="R19" s="419">
        <v>12</v>
      </c>
      <c r="S19" s="459">
        <v>4.7</v>
      </c>
      <c r="T19" s="414">
        <v>0.22</v>
      </c>
      <c r="U19" s="414"/>
      <c r="V19" s="414">
        <v>157.5</v>
      </c>
      <c r="W19" s="414">
        <v>50</v>
      </c>
      <c r="X19" s="414">
        <v>207.5</v>
      </c>
      <c r="Y19" s="433"/>
      <c r="Z19" s="420"/>
      <c r="AA19" s="433"/>
      <c r="AB19" s="420"/>
      <c r="AC19" s="433">
        <v>0.42</v>
      </c>
      <c r="AD19" s="420"/>
      <c r="AE19" s="414"/>
      <c r="AF19" s="420"/>
      <c r="AG19" s="414">
        <v>35</v>
      </c>
      <c r="AH19" s="416"/>
    </row>
    <row r="20" spans="11:34" s="421" customFormat="1" x14ac:dyDescent="0.2">
      <c r="K20" s="416" t="s">
        <v>449</v>
      </c>
      <c r="L20" s="417">
        <v>678</v>
      </c>
      <c r="M20" s="430">
        <v>46715</v>
      </c>
      <c r="N20" s="418">
        <v>17.5</v>
      </c>
      <c r="O20" s="419">
        <v>373</v>
      </c>
      <c r="P20" s="419">
        <v>249</v>
      </c>
      <c r="Q20" s="414">
        <v>0.8</v>
      </c>
      <c r="R20" s="419">
        <v>8</v>
      </c>
      <c r="S20" s="459">
        <v>3.7</v>
      </c>
      <c r="T20" s="414">
        <v>0.22</v>
      </c>
      <c r="U20" s="414"/>
      <c r="V20" s="414">
        <v>157.5</v>
      </c>
      <c r="W20" s="414">
        <v>50</v>
      </c>
      <c r="X20" s="414">
        <v>207.5</v>
      </c>
      <c r="Y20" s="414">
        <v>0.6</v>
      </c>
      <c r="Z20" s="420"/>
      <c r="AA20" s="414">
        <v>0.6</v>
      </c>
      <c r="AB20" s="420"/>
      <c r="AC20" s="414">
        <v>0.6</v>
      </c>
      <c r="AD20" s="420"/>
      <c r="AE20" s="414">
        <v>0.6</v>
      </c>
      <c r="AF20" s="420"/>
      <c r="AG20" s="414">
        <v>35</v>
      </c>
      <c r="AH20" s="416"/>
    </row>
    <row r="21" spans="11:34" s="421" customFormat="1" x14ac:dyDescent="0.2">
      <c r="K21" s="416" t="s">
        <v>626</v>
      </c>
      <c r="L21" s="417">
        <v>678</v>
      </c>
      <c r="M21" s="430">
        <v>46715</v>
      </c>
      <c r="N21" s="418">
        <v>17.5</v>
      </c>
      <c r="O21" s="419">
        <v>498</v>
      </c>
      <c r="P21" s="419">
        <v>249</v>
      </c>
      <c r="Q21" s="414">
        <v>0.8</v>
      </c>
      <c r="R21" s="419">
        <v>12</v>
      </c>
      <c r="S21" s="459">
        <v>4.7</v>
      </c>
      <c r="T21" s="414">
        <v>0.22</v>
      </c>
      <c r="U21" s="414"/>
      <c r="V21" s="414">
        <v>157.5</v>
      </c>
      <c r="W21" s="414">
        <v>50</v>
      </c>
      <c r="X21" s="414">
        <v>207.5</v>
      </c>
      <c r="Y21" s="414">
        <v>0.6</v>
      </c>
      <c r="Z21" s="420"/>
      <c r="AA21" s="414">
        <v>0.6</v>
      </c>
      <c r="AB21" s="420"/>
      <c r="AC21" s="414">
        <v>0.6</v>
      </c>
      <c r="AD21" s="420"/>
      <c r="AE21" s="414">
        <v>0.6</v>
      </c>
      <c r="AF21" s="420"/>
      <c r="AG21" s="414">
        <v>35</v>
      </c>
      <c r="AH21" s="416"/>
    </row>
    <row r="22" spans="11:34" s="429" customFormat="1" x14ac:dyDescent="0.2">
      <c r="K22" s="416" t="s">
        <v>450</v>
      </c>
      <c r="L22" s="417">
        <v>678</v>
      </c>
      <c r="M22" s="430">
        <v>46715</v>
      </c>
      <c r="N22" s="418">
        <v>24</v>
      </c>
      <c r="O22" s="419">
        <v>373</v>
      </c>
      <c r="P22" s="419">
        <v>249</v>
      </c>
      <c r="Q22" s="414">
        <v>0.8</v>
      </c>
      <c r="R22" s="419">
        <v>8</v>
      </c>
      <c r="S22" s="459">
        <v>3.7</v>
      </c>
      <c r="T22" s="414">
        <v>0.22</v>
      </c>
      <c r="U22" s="414"/>
      <c r="V22" s="414">
        <v>216</v>
      </c>
      <c r="W22" s="414">
        <v>50</v>
      </c>
      <c r="X22" s="414">
        <v>266</v>
      </c>
      <c r="Y22" s="414">
        <v>0.6</v>
      </c>
      <c r="Z22" s="420"/>
      <c r="AA22" s="414">
        <v>0.6</v>
      </c>
      <c r="AB22" s="420"/>
      <c r="AC22" s="414">
        <v>0.6</v>
      </c>
      <c r="AD22" s="420"/>
      <c r="AE22" s="414">
        <v>0.6</v>
      </c>
      <c r="AF22" s="420"/>
      <c r="AG22" s="414">
        <v>35</v>
      </c>
      <c r="AH22" s="416"/>
    </row>
    <row r="23" spans="11:34" s="429" customFormat="1" x14ac:dyDescent="0.2">
      <c r="K23" s="429" t="s">
        <v>450</v>
      </c>
      <c r="L23" s="417">
        <v>678</v>
      </c>
      <c r="M23" s="430">
        <v>46715</v>
      </c>
      <c r="N23" s="418">
        <v>24</v>
      </c>
      <c r="O23" s="419">
        <v>373</v>
      </c>
      <c r="P23" s="419">
        <v>249</v>
      </c>
      <c r="Q23" s="414">
        <v>0.8</v>
      </c>
      <c r="R23" s="419">
        <v>12</v>
      </c>
      <c r="S23" s="459">
        <v>4.7</v>
      </c>
      <c r="T23" s="414">
        <v>0.22</v>
      </c>
      <c r="U23" s="414"/>
      <c r="V23" s="414">
        <v>216</v>
      </c>
      <c r="W23" s="414">
        <v>50</v>
      </c>
      <c r="X23" s="414">
        <v>266</v>
      </c>
      <c r="Y23" s="414">
        <v>0.6</v>
      </c>
      <c r="Z23" s="420"/>
      <c r="AA23" s="414">
        <v>0.6</v>
      </c>
      <c r="AB23" s="420"/>
      <c r="AC23" s="414">
        <v>0.6</v>
      </c>
      <c r="AD23" s="420"/>
      <c r="AE23" s="414">
        <v>0.6</v>
      </c>
      <c r="AF23" s="420"/>
      <c r="AG23" s="414">
        <v>35</v>
      </c>
      <c r="AH23" s="416"/>
    </row>
    <row r="24" spans="11:34" s="421" customFormat="1" x14ac:dyDescent="0.2">
      <c r="K24" s="416" t="s">
        <v>451</v>
      </c>
      <c r="L24" s="417">
        <v>868</v>
      </c>
      <c r="M24" s="430">
        <v>45699</v>
      </c>
      <c r="N24" s="418">
        <v>11.5</v>
      </c>
      <c r="O24" s="419">
        <v>498</v>
      </c>
      <c r="P24" s="419">
        <v>249</v>
      </c>
      <c r="Q24" s="414">
        <v>0.8</v>
      </c>
      <c r="R24" s="419">
        <v>8</v>
      </c>
      <c r="S24" s="459">
        <v>3.7</v>
      </c>
      <c r="T24" s="414">
        <v>0.22</v>
      </c>
      <c r="U24" s="414"/>
      <c r="V24" s="414">
        <v>103.50000000000001</v>
      </c>
      <c r="W24" s="414">
        <v>50</v>
      </c>
      <c r="X24" s="414">
        <v>153.5</v>
      </c>
      <c r="Y24" s="414">
        <v>0.5</v>
      </c>
      <c r="Z24" s="420">
        <v>2.2700000000000001E-2</v>
      </c>
      <c r="AA24" s="414">
        <v>0.5</v>
      </c>
      <c r="AB24" s="420">
        <v>2.2700000000000001E-2</v>
      </c>
      <c r="AC24" s="414">
        <v>0.5</v>
      </c>
      <c r="AD24" s="420">
        <v>2.2700000000000001E-2</v>
      </c>
      <c r="AE24" s="414"/>
      <c r="AF24" s="420"/>
      <c r="AG24" s="414">
        <v>35</v>
      </c>
      <c r="AH24" s="416"/>
    </row>
    <row r="25" spans="11:34" s="421" customFormat="1" x14ac:dyDescent="0.2">
      <c r="K25" s="416" t="s">
        <v>628</v>
      </c>
      <c r="L25" s="417">
        <v>868</v>
      </c>
      <c r="M25" s="430">
        <v>45699</v>
      </c>
      <c r="N25" s="418">
        <v>17.5</v>
      </c>
      <c r="O25" s="419">
        <v>498</v>
      </c>
      <c r="P25" s="419">
        <v>249</v>
      </c>
      <c r="Q25" s="414">
        <v>0.8</v>
      </c>
      <c r="R25" s="419">
        <v>12</v>
      </c>
      <c r="S25" s="459">
        <v>4.7</v>
      </c>
      <c r="T25" s="414">
        <v>0.22</v>
      </c>
      <c r="U25" s="414"/>
      <c r="V25" s="414">
        <v>175</v>
      </c>
      <c r="W25" s="414">
        <v>50</v>
      </c>
      <c r="X25" s="414">
        <v>225</v>
      </c>
      <c r="Y25" s="414">
        <v>0.6</v>
      </c>
      <c r="Z25" s="420">
        <v>2.2700000000000001E-2</v>
      </c>
      <c r="AA25" s="414">
        <v>0.6</v>
      </c>
      <c r="AB25" s="420">
        <v>2.2700000000000001E-2</v>
      </c>
      <c r="AC25" s="414">
        <v>0.6</v>
      </c>
      <c r="AD25" s="420">
        <v>2.2700000000000001E-2</v>
      </c>
      <c r="AE25" s="414">
        <v>0.6</v>
      </c>
      <c r="AF25" s="420">
        <v>1.52E-2</v>
      </c>
      <c r="AG25" s="414">
        <v>35</v>
      </c>
      <c r="AH25" s="416"/>
    </row>
    <row r="26" spans="11:34" s="421" customFormat="1" x14ac:dyDescent="0.2">
      <c r="K26" s="416" t="s">
        <v>629</v>
      </c>
      <c r="L26" s="417">
        <v>868</v>
      </c>
      <c r="M26" s="430">
        <v>45699</v>
      </c>
      <c r="N26" s="418">
        <v>17.5</v>
      </c>
      <c r="O26" s="419">
        <v>498</v>
      </c>
      <c r="P26" s="419">
        <v>249</v>
      </c>
      <c r="Q26" s="414">
        <v>0.8</v>
      </c>
      <c r="R26" s="419">
        <v>12</v>
      </c>
      <c r="S26" s="459">
        <v>4.7</v>
      </c>
      <c r="T26" s="414">
        <v>0.22</v>
      </c>
      <c r="U26" s="414"/>
      <c r="V26" s="414">
        <v>175</v>
      </c>
      <c r="W26" s="414">
        <v>50</v>
      </c>
      <c r="X26" s="414">
        <v>225</v>
      </c>
      <c r="Y26" s="414">
        <v>0.6</v>
      </c>
      <c r="Z26" s="420">
        <v>2.2700000000000001E-2</v>
      </c>
      <c r="AA26" s="414">
        <v>0.6</v>
      </c>
      <c r="AB26" s="420">
        <v>2.2700000000000001E-2</v>
      </c>
      <c r="AC26" s="414">
        <v>0.6</v>
      </c>
      <c r="AD26" s="420">
        <v>2.2700000000000001E-2</v>
      </c>
      <c r="AE26" s="414">
        <v>0.6</v>
      </c>
      <c r="AF26" s="420">
        <v>1.52E-2</v>
      </c>
      <c r="AG26" s="414">
        <v>35</v>
      </c>
      <c r="AH26" s="416"/>
    </row>
    <row r="27" spans="11:34" s="421" customFormat="1" x14ac:dyDescent="0.2">
      <c r="K27" s="416" t="s">
        <v>630</v>
      </c>
      <c r="L27" s="417">
        <v>868</v>
      </c>
      <c r="M27" s="430">
        <v>45699</v>
      </c>
      <c r="N27" s="418">
        <v>24</v>
      </c>
      <c r="O27" s="419">
        <v>373</v>
      </c>
      <c r="P27" s="419">
        <v>249</v>
      </c>
      <c r="Q27" s="414">
        <v>0.8</v>
      </c>
      <c r="R27" s="419">
        <v>12</v>
      </c>
      <c r="S27" s="459">
        <v>4.7</v>
      </c>
      <c r="T27" s="414">
        <v>0.22</v>
      </c>
      <c r="U27" s="414"/>
      <c r="V27" s="414">
        <v>240</v>
      </c>
      <c r="W27" s="414">
        <v>50</v>
      </c>
      <c r="X27" s="414">
        <v>290</v>
      </c>
      <c r="Y27" s="414">
        <v>0.6</v>
      </c>
      <c r="Z27" s="420">
        <v>2.53E-2</v>
      </c>
      <c r="AA27" s="414">
        <v>0.6</v>
      </c>
      <c r="AB27" s="420">
        <v>2.53E-2</v>
      </c>
      <c r="AC27" s="414">
        <v>0.6</v>
      </c>
      <c r="AD27" s="420">
        <v>2.53E-2</v>
      </c>
      <c r="AE27" s="414">
        <v>0.6</v>
      </c>
      <c r="AF27" s="420">
        <v>2.53E-2</v>
      </c>
      <c r="AG27" s="414">
        <v>35</v>
      </c>
      <c r="AH27" s="416"/>
    </row>
    <row r="28" spans="11:34" s="421" customFormat="1" x14ac:dyDescent="0.2">
      <c r="K28" s="416" t="s">
        <v>631</v>
      </c>
      <c r="L28" s="417">
        <v>868</v>
      </c>
      <c r="M28" s="430">
        <v>45699</v>
      </c>
      <c r="N28" s="418">
        <v>24</v>
      </c>
      <c r="O28" s="419">
        <v>373</v>
      </c>
      <c r="P28" s="419">
        <v>249</v>
      </c>
      <c r="Q28" s="414">
        <v>0.8</v>
      </c>
      <c r="R28" s="419">
        <v>12</v>
      </c>
      <c r="S28" s="459">
        <v>4.7</v>
      </c>
      <c r="T28" s="414">
        <v>0.22</v>
      </c>
      <c r="U28" s="414"/>
      <c r="V28" s="414">
        <v>240</v>
      </c>
      <c r="W28" s="414">
        <v>50</v>
      </c>
      <c r="X28" s="414">
        <v>290</v>
      </c>
      <c r="Y28" s="414">
        <v>0.6</v>
      </c>
      <c r="Z28" s="420">
        <v>2.53E-2</v>
      </c>
      <c r="AA28" s="414">
        <v>0.6</v>
      </c>
      <c r="AB28" s="420">
        <v>2.53E-2</v>
      </c>
      <c r="AC28" s="414">
        <v>0.6</v>
      </c>
      <c r="AD28" s="420">
        <v>2.53E-2</v>
      </c>
      <c r="AE28" s="414">
        <v>0.6</v>
      </c>
      <c r="AF28" s="420">
        <v>2.53E-2</v>
      </c>
      <c r="AG28" s="414">
        <v>35</v>
      </c>
      <c r="AH28" s="416"/>
    </row>
    <row r="29" spans="11:34" s="421" customFormat="1" x14ac:dyDescent="0.2">
      <c r="K29" s="416" t="s">
        <v>640</v>
      </c>
      <c r="L29" s="417" t="s">
        <v>636</v>
      </c>
      <c r="M29" s="430">
        <v>45762</v>
      </c>
      <c r="N29" s="418">
        <v>11.5</v>
      </c>
      <c r="O29" s="419">
        <v>498</v>
      </c>
      <c r="P29" s="419">
        <v>249</v>
      </c>
      <c r="Q29" s="414">
        <v>0.8</v>
      </c>
      <c r="R29" s="419">
        <v>8</v>
      </c>
      <c r="S29" s="459">
        <f>2.3*1.5/1.8</f>
        <v>1.9166666666666665</v>
      </c>
      <c r="T29" s="414">
        <v>0.09</v>
      </c>
      <c r="U29" s="414"/>
      <c r="V29" s="414">
        <v>103.50000000000001</v>
      </c>
      <c r="W29" s="414">
        <v>50</v>
      </c>
      <c r="X29" s="414">
        <v>153.5</v>
      </c>
      <c r="Y29" s="414"/>
      <c r="Z29" s="420"/>
      <c r="AA29" s="414"/>
      <c r="AB29" s="420"/>
      <c r="AC29" s="414"/>
      <c r="AD29" s="420"/>
      <c r="AE29" s="414"/>
      <c r="AF29" s="420"/>
      <c r="AG29" s="414">
        <v>35</v>
      </c>
      <c r="AH29" s="416"/>
    </row>
    <row r="30" spans="11:34" s="421" customFormat="1" x14ac:dyDescent="0.2">
      <c r="K30" s="416" t="s">
        <v>641</v>
      </c>
      <c r="L30" s="417" t="s">
        <v>636</v>
      </c>
      <c r="M30" s="430">
        <v>45762</v>
      </c>
      <c r="N30" s="418">
        <v>17.5</v>
      </c>
      <c r="O30" s="419">
        <v>498</v>
      </c>
      <c r="P30" s="419">
        <v>249</v>
      </c>
      <c r="Q30" s="414">
        <v>0.8</v>
      </c>
      <c r="R30" s="419">
        <v>12</v>
      </c>
      <c r="S30" s="459">
        <f>3.1*1.5/1.8</f>
        <v>2.5833333333333335</v>
      </c>
      <c r="T30" s="414">
        <v>0.09</v>
      </c>
      <c r="U30" s="414"/>
      <c r="V30" s="414">
        <v>175</v>
      </c>
      <c r="W30" s="414">
        <v>50</v>
      </c>
      <c r="X30" s="414">
        <v>225</v>
      </c>
      <c r="Y30" s="414"/>
      <c r="Z30" s="420"/>
      <c r="AA30" s="414"/>
      <c r="AB30" s="420"/>
      <c r="AC30" s="414"/>
      <c r="AD30" s="420"/>
      <c r="AE30" s="414"/>
      <c r="AF30" s="420"/>
      <c r="AG30" s="414">
        <v>35</v>
      </c>
      <c r="AH30" s="416"/>
    </row>
    <row r="31" spans="11:34" s="421" customFormat="1" x14ac:dyDescent="0.2">
      <c r="K31" s="416" t="s">
        <v>642</v>
      </c>
      <c r="L31" s="417" t="s">
        <v>636</v>
      </c>
      <c r="M31" s="430">
        <v>45762</v>
      </c>
      <c r="N31" s="418">
        <v>24</v>
      </c>
      <c r="O31" s="419">
        <v>373</v>
      </c>
      <c r="P31" s="419">
        <v>249</v>
      </c>
      <c r="Q31" s="414">
        <v>0.8</v>
      </c>
      <c r="R31" s="419">
        <v>12</v>
      </c>
      <c r="S31" s="459">
        <f>3.1*1.5/1.8</f>
        <v>2.5833333333333335</v>
      </c>
      <c r="T31" s="414">
        <v>0.09</v>
      </c>
      <c r="U31" s="414"/>
      <c r="V31" s="414">
        <v>240</v>
      </c>
      <c r="W31" s="414">
        <v>50</v>
      </c>
      <c r="X31" s="414">
        <v>290</v>
      </c>
      <c r="Y31" s="414">
        <v>0.24</v>
      </c>
      <c r="Z31" s="420"/>
      <c r="AA31" s="414">
        <v>0.24</v>
      </c>
      <c r="AB31" s="420"/>
      <c r="AC31" s="414">
        <v>0.24</v>
      </c>
      <c r="AD31" s="420"/>
      <c r="AE31" s="414"/>
      <c r="AF31" s="420"/>
      <c r="AG31" s="414">
        <v>35</v>
      </c>
      <c r="AH31" s="416"/>
    </row>
    <row r="32" spans="11:34" s="421" customFormat="1" x14ac:dyDescent="0.2">
      <c r="K32" s="416" t="s">
        <v>452</v>
      </c>
      <c r="L32" s="417">
        <v>868</v>
      </c>
      <c r="M32" s="430">
        <v>45699</v>
      </c>
      <c r="N32" s="418">
        <v>11.5</v>
      </c>
      <c r="O32" s="419">
        <v>373</v>
      </c>
      <c r="P32" s="419">
        <v>249</v>
      </c>
      <c r="Q32" s="414">
        <v>1.2</v>
      </c>
      <c r="R32" s="419">
        <v>20</v>
      </c>
      <c r="S32" s="459">
        <v>6.3</v>
      </c>
      <c r="T32" s="414">
        <v>0.22</v>
      </c>
      <c r="U32" s="414"/>
      <c r="V32" s="414">
        <v>149.5</v>
      </c>
      <c r="W32" s="414">
        <v>50</v>
      </c>
      <c r="X32" s="414">
        <v>199.5</v>
      </c>
      <c r="Y32" s="414">
        <v>0.5</v>
      </c>
      <c r="Z32" s="420">
        <v>2.2700000000000001E-2</v>
      </c>
      <c r="AA32" s="414">
        <v>0.5</v>
      </c>
      <c r="AB32" s="420">
        <v>2.2700000000000001E-2</v>
      </c>
      <c r="AC32" s="414">
        <v>0.5</v>
      </c>
      <c r="AD32" s="420">
        <v>2.2700000000000001E-2</v>
      </c>
      <c r="AE32" s="414"/>
      <c r="AF32" s="420"/>
      <c r="AG32" s="414">
        <v>35</v>
      </c>
      <c r="AH32" s="416"/>
    </row>
    <row r="33" spans="11:34" s="421" customFormat="1" x14ac:dyDescent="0.2">
      <c r="K33" s="416" t="s">
        <v>453</v>
      </c>
      <c r="L33" s="417">
        <v>1108</v>
      </c>
      <c r="M33" s="430">
        <v>45762</v>
      </c>
      <c r="N33" s="418">
        <v>17.5</v>
      </c>
      <c r="O33" s="419">
        <v>373</v>
      </c>
      <c r="P33" s="419">
        <v>249</v>
      </c>
      <c r="Q33" s="414">
        <v>1.2</v>
      </c>
      <c r="R33" s="419">
        <v>20</v>
      </c>
      <c r="S33" s="459">
        <v>8.5</v>
      </c>
      <c r="T33" s="414">
        <v>0.22</v>
      </c>
      <c r="U33" s="414"/>
      <c r="V33" s="414">
        <v>227.5</v>
      </c>
      <c r="W33" s="414">
        <v>50</v>
      </c>
      <c r="X33" s="414">
        <v>277.5</v>
      </c>
      <c r="Y33" s="414">
        <v>0.52</v>
      </c>
      <c r="Z33" s="420"/>
      <c r="AA33" s="414">
        <v>0.52</v>
      </c>
      <c r="AB33" s="420"/>
      <c r="AC33" s="414">
        <v>0.52</v>
      </c>
      <c r="AD33" s="420"/>
      <c r="AE33" s="414">
        <v>0.52</v>
      </c>
      <c r="AF33" s="420"/>
      <c r="AG33" s="414">
        <v>35</v>
      </c>
      <c r="AH33" s="416"/>
    </row>
    <row r="34" spans="11:34" s="421" customFormat="1" x14ac:dyDescent="0.2">
      <c r="K34" s="416" t="s">
        <v>454</v>
      </c>
      <c r="L34" s="417">
        <v>1108</v>
      </c>
      <c r="M34" s="430">
        <v>45762</v>
      </c>
      <c r="N34" s="418">
        <v>24</v>
      </c>
      <c r="O34" s="419">
        <v>373</v>
      </c>
      <c r="P34" s="419">
        <v>249</v>
      </c>
      <c r="Q34" s="414">
        <v>1.2</v>
      </c>
      <c r="R34" s="419">
        <v>20</v>
      </c>
      <c r="S34" s="459">
        <v>8.5</v>
      </c>
      <c r="T34" s="414">
        <v>0.22</v>
      </c>
      <c r="U34" s="414"/>
      <c r="V34" s="414">
        <v>312</v>
      </c>
      <c r="W34" s="414">
        <v>50</v>
      </c>
      <c r="X34" s="414">
        <v>362</v>
      </c>
      <c r="Y34" s="414">
        <v>0.52</v>
      </c>
      <c r="Z34" s="420"/>
      <c r="AA34" s="414">
        <v>0.52</v>
      </c>
      <c r="AB34" s="420"/>
      <c r="AC34" s="414">
        <v>0.52</v>
      </c>
      <c r="AD34" s="420"/>
      <c r="AE34" s="414">
        <v>0.52</v>
      </c>
      <c r="AF34" s="420"/>
      <c r="AG34" s="414">
        <v>35</v>
      </c>
      <c r="AH34" s="416"/>
    </row>
    <row r="35" spans="11:34" s="421" customFormat="1" x14ac:dyDescent="0.2">
      <c r="K35" s="416" t="s">
        <v>643</v>
      </c>
      <c r="L35" s="417" t="s">
        <v>636</v>
      </c>
      <c r="M35" s="430">
        <v>45762</v>
      </c>
      <c r="N35" s="418">
        <v>11.5</v>
      </c>
      <c r="O35" s="419">
        <v>373</v>
      </c>
      <c r="P35" s="419">
        <v>249</v>
      </c>
      <c r="Q35" s="414">
        <v>1.2</v>
      </c>
      <c r="R35" s="419">
        <v>20</v>
      </c>
      <c r="S35" s="459">
        <f>4.2*1.5/1.8</f>
        <v>3.5000000000000004</v>
      </c>
      <c r="T35" s="414">
        <v>0.09</v>
      </c>
      <c r="U35" s="414"/>
      <c r="V35" s="414">
        <v>149.5</v>
      </c>
      <c r="W35" s="414">
        <v>50</v>
      </c>
      <c r="X35" s="414">
        <v>199.5</v>
      </c>
      <c r="Y35" s="414"/>
      <c r="Z35" s="420"/>
      <c r="AA35" s="414"/>
      <c r="AB35" s="420"/>
      <c r="AC35" s="414"/>
      <c r="AD35" s="420"/>
      <c r="AE35" s="414"/>
      <c r="AF35" s="420"/>
      <c r="AG35" s="414"/>
      <c r="AH35" s="416"/>
    </row>
    <row r="36" spans="11:34" s="421" customFormat="1" x14ac:dyDescent="0.2">
      <c r="K36" s="416" t="s">
        <v>644</v>
      </c>
      <c r="L36" s="417" t="s">
        <v>636</v>
      </c>
      <c r="M36" s="430">
        <v>45762</v>
      </c>
      <c r="N36" s="418">
        <v>17.5</v>
      </c>
      <c r="O36" s="419">
        <v>373</v>
      </c>
      <c r="P36" s="419">
        <v>249</v>
      </c>
      <c r="Q36" s="414">
        <v>1.2</v>
      </c>
      <c r="R36" s="419">
        <v>20</v>
      </c>
      <c r="S36" s="459">
        <f>4.2*1.5/1.8</f>
        <v>3.5000000000000004</v>
      </c>
      <c r="T36" s="414">
        <v>0.09</v>
      </c>
      <c r="U36" s="414"/>
      <c r="V36" s="414">
        <v>227.5</v>
      </c>
      <c r="W36" s="414">
        <v>50</v>
      </c>
      <c r="X36" s="414">
        <v>277.5</v>
      </c>
      <c r="Y36" s="414"/>
      <c r="Z36" s="420"/>
      <c r="AA36" s="414"/>
      <c r="AB36" s="420"/>
      <c r="AC36" s="414"/>
      <c r="AD36" s="420"/>
      <c r="AE36" s="414"/>
      <c r="AF36" s="420"/>
      <c r="AG36" s="414"/>
      <c r="AH36" s="416"/>
    </row>
    <row r="37" spans="11:34" s="421" customFormat="1" x14ac:dyDescent="0.2">
      <c r="K37" s="416" t="s">
        <v>645</v>
      </c>
      <c r="L37" s="417" t="s">
        <v>636</v>
      </c>
      <c r="M37" s="430">
        <v>45762</v>
      </c>
      <c r="N37" s="418">
        <v>24</v>
      </c>
      <c r="O37" s="419">
        <v>373</v>
      </c>
      <c r="P37" s="419">
        <v>249</v>
      </c>
      <c r="Q37" s="414">
        <v>1.2</v>
      </c>
      <c r="R37" s="419">
        <v>20</v>
      </c>
      <c r="S37" s="459">
        <f>4.2*1.5/1.8</f>
        <v>3.5000000000000004</v>
      </c>
      <c r="T37" s="414">
        <v>0.09</v>
      </c>
      <c r="U37" s="414"/>
      <c r="V37" s="414">
        <v>312</v>
      </c>
      <c r="W37" s="414">
        <v>50</v>
      </c>
      <c r="X37" s="414">
        <v>362</v>
      </c>
      <c r="Y37" s="414">
        <v>0.24</v>
      </c>
      <c r="Z37" s="420"/>
      <c r="AA37" s="414">
        <v>0.24</v>
      </c>
      <c r="AB37" s="420"/>
      <c r="AC37" s="414">
        <v>0.24</v>
      </c>
      <c r="AD37" s="420"/>
      <c r="AE37" s="414"/>
      <c r="AF37" s="420"/>
      <c r="AG37" s="414"/>
      <c r="AH37" s="416"/>
    </row>
    <row r="38" spans="11:34" s="421" customFormat="1" x14ac:dyDescent="0.2">
      <c r="K38" s="416" t="s">
        <v>455</v>
      </c>
      <c r="L38" s="417">
        <v>868</v>
      </c>
      <c r="M38" s="430">
        <v>45699</v>
      </c>
      <c r="N38" s="418">
        <v>11.5</v>
      </c>
      <c r="O38" s="419">
        <v>308</v>
      </c>
      <c r="P38" s="419">
        <v>249</v>
      </c>
      <c r="Q38" s="414">
        <v>1.4</v>
      </c>
      <c r="R38" s="419">
        <v>20</v>
      </c>
      <c r="S38" s="459">
        <v>6.3</v>
      </c>
      <c r="T38" s="414">
        <v>0.22</v>
      </c>
      <c r="U38" s="414"/>
      <c r="V38" s="414">
        <v>161</v>
      </c>
      <c r="W38" s="414">
        <v>50</v>
      </c>
      <c r="X38" s="414">
        <v>211</v>
      </c>
      <c r="Y38" s="414">
        <v>0.5</v>
      </c>
      <c r="Z38" s="420">
        <v>2.2700000000000001E-2</v>
      </c>
      <c r="AA38" s="414">
        <v>0.5</v>
      </c>
      <c r="AB38" s="420">
        <v>2.2700000000000001E-2</v>
      </c>
      <c r="AC38" s="414">
        <v>0.5</v>
      </c>
      <c r="AD38" s="420">
        <v>2.2700000000000001E-2</v>
      </c>
      <c r="AE38" s="414"/>
      <c r="AF38" s="420"/>
      <c r="AG38" s="414">
        <v>35</v>
      </c>
      <c r="AH38" s="416"/>
    </row>
    <row r="39" spans="11:34" s="421" customFormat="1" x14ac:dyDescent="0.2">
      <c r="K39" s="416" t="s">
        <v>456</v>
      </c>
      <c r="L39" s="417">
        <v>1108</v>
      </c>
      <c r="M39" s="430">
        <v>45762</v>
      </c>
      <c r="N39" s="418">
        <v>17.5</v>
      </c>
      <c r="O39" s="419">
        <v>308</v>
      </c>
      <c r="P39" s="419">
        <v>249</v>
      </c>
      <c r="Q39" s="414">
        <v>1.4</v>
      </c>
      <c r="R39" s="419">
        <v>20</v>
      </c>
      <c r="S39" s="459">
        <v>8.5</v>
      </c>
      <c r="T39" s="414">
        <v>0.22</v>
      </c>
      <c r="U39" s="414"/>
      <c r="V39" s="414">
        <v>244.99999999999997</v>
      </c>
      <c r="W39" s="414">
        <v>50</v>
      </c>
      <c r="X39" s="414">
        <v>295</v>
      </c>
      <c r="Y39" s="414">
        <v>0.52</v>
      </c>
      <c r="Z39" s="420"/>
      <c r="AA39" s="414">
        <v>0.52</v>
      </c>
      <c r="AB39" s="420"/>
      <c r="AC39" s="414">
        <v>0.52</v>
      </c>
      <c r="AD39" s="420"/>
      <c r="AE39" s="414">
        <v>0.52</v>
      </c>
      <c r="AF39" s="420">
        <v>1.18E-2</v>
      </c>
      <c r="AG39" s="414">
        <v>35</v>
      </c>
      <c r="AH39" s="416"/>
    </row>
    <row r="40" spans="11:34" s="421" customFormat="1" x14ac:dyDescent="0.2">
      <c r="K40" s="416" t="s">
        <v>456</v>
      </c>
      <c r="L40" s="417">
        <v>1141</v>
      </c>
      <c r="M40" s="430">
        <v>45762</v>
      </c>
      <c r="N40" s="418">
        <v>17.5</v>
      </c>
      <c r="O40" s="419">
        <v>308</v>
      </c>
      <c r="P40" s="419">
        <v>249</v>
      </c>
      <c r="Q40" s="414">
        <v>1.4</v>
      </c>
      <c r="R40" s="419">
        <v>20</v>
      </c>
      <c r="S40" s="459">
        <v>10.199999999999999</v>
      </c>
      <c r="T40" s="414">
        <v>0.22</v>
      </c>
      <c r="U40" s="414"/>
      <c r="V40" s="414">
        <v>244.99999999999997</v>
      </c>
      <c r="W40" s="414">
        <v>50</v>
      </c>
      <c r="X40" s="414">
        <v>295</v>
      </c>
      <c r="Y40" s="414">
        <v>0.43</v>
      </c>
      <c r="Z40" s="420"/>
      <c r="AA40" s="414">
        <v>0.43</v>
      </c>
      <c r="AB40" s="420"/>
      <c r="AC40" s="414">
        <v>0.43</v>
      </c>
      <c r="AD40" s="420"/>
      <c r="AE40" s="414">
        <v>0.43</v>
      </c>
      <c r="AF40" s="420">
        <v>9.7999999999999997E-3</v>
      </c>
      <c r="AG40" s="414">
        <v>35</v>
      </c>
      <c r="AH40" s="416"/>
    </row>
    <row r="41" spans="11:34" s="421" customFormat="1" x14ac:dyDescent="0.2">
      <c r="K41" s="416" t="s">
        <v>457</v>
      </c>
      <c r="L41" s="417">
        <v>1108</v>
      </c>
      <c r="M41" s="430">
        <v>45762</v>
      </c>
      <c r="N41" s="418">
        <v>24</v>
      </c>
      <c r="O41" s="419">
        <v>308</v>
      </c>
      <c r="P41" s="419">
        <v>249</v>
      </c>
      <c r="Q41" s="414">
        <v>1.4</v>
      </c>
      <c r="R41" s="419">
        <v>20</v>
      </c>
      <c r="S41" s="459">
        <v>8.5</v>
      </c>
      <c r="T41" s="414">
        <v>0.22</v>
      </c>
      <c r="U41" s="414"/>
      <c r="V41" s="414">
        <v>336</v>
      </c>
      <c r="W41" s="414">
        <v>50</v>
      </c>
      <c r="X41" s="414">
        <v>386</v>
      </c>
      <c r="Y41" s="414">
        <v>0.52</v>
      </c>
      <c r="Z41" s="420"/>
      <c r="AA41" s="414">
        <v>0.52</v>
      </c>
      <c r="AB41" s="420"/>
      <c r="AC41" s="414">
        <v>0.52</v>
      </c>
      <c r="AD41" s="420"/>
      <c r="AE41" s="414">
        <v>0.52</v>
      </c>
      <c r="AF41" s="420">
        <v>1.9599999999999999E-2</v>
      </c>
      <c r="AG41" s="414">
        <v>35</v>
      </c>
      <c r="AH41" s="416"/>
    </row>
    <row r="42" spans="11:34" s="421" customFormat="1" x14ac:dyDescent="0.2">
      <c r="K42" s="416" t="s">
        <v>458</v>
      </c>
      <c r="L42" s="417">
        <v>537</v>
      </c>
      <c r="M42" s="430">
        <v>45566</v>
      </c>
      <c r="N42" s="418">
        <v>17.5</v>
      </c>
      <c r="O42" s="419">
        <v>373</v>
      </c>
      <c r="P42" s="419">
        <v>249</v>
      </c>
      <c r="Q42" s="414">
        <v>2</v>
      </c>
      <c r="R42" s="419">
        <v>12</v>
      </c>
      <c r="S42" s="459">
        <v>5.8</v>
      </c>
      <c r="T42" s="414">
        <v>0.22</v>
      </c>
      <c r="U42" s="414"/>
      <c r="V42" s="414">
        <v>350</v>
      </c>
      <c r="W42" s="414">
        <v>50</v>
      </c>
      <c r="X42" s="414">
        <v>400</v>
      </c>
      <c r="Y42" s="414">
        <v>0.7</v>
      </c>
      <c r="Z42" s="420"/>
      <c r="AA42" s="414">
        <v>0.7</v>
      </c>
      <c r="AB42" s="420"/>
      <c r="AC42" s="414">
        <v>0.7</v>
      </c>
      <c r="AD42" s="420"/>
      <c r="AE42" s="414">
        <v>0.7</v>
      </c>
      <c r="AF42" s="420"/>
      <c r="AG42" s="414">
        <v>35</v>
      </c>
      <c r="AH42" s="416"/>
    </row>
    <row r="43" spans="11:34" s="421" customFormat="1" x14ac:dyDescent="0.2">
      <c r="K43" s="416" t="s">
        <v>459</v>
      </c>
      <c r="L43" s="417">
        <v>537</v>
      </c>
      <c r="M43" s="430">
        <v>45566</v>
      </c>
      <c r="N43" s="418">
        <v>24</v>
      </c>
      <c r="O43" s="419">
        <v>373</v>
      </c>
      <c r="P43" s="419">
        <v>249</v>
      </c>
      <c r="Q43" s="414">
        <v>2</v>
      </c>
      <c r="R43" s="419">
        <v>12</v>
      </c>
      <c r="S43" s="459">
        <v>5.8</v>
      </c>
      <c r="T43" s="414">
        <v>0.22</v>
      </c>
      <c r="U43" s="414"/>
      <c r="V43" s="414">
        <v>480</v>
      </c>
      <c r="W43" s="414">
        <v>50</v>
      </c>
      <c r="X43" s="414">
        <v>530</v>
      </c>
      <c r="Y43" s="414">
        <v>0.7</v>
      </c>
      <c r="Z43" s="420"/>
      <c r="AA43" s="414">
        <v>0.7</v>
      </c>
      <c r="AB43" s="420"/>
      <c r="AC43" s="414">
        <v>0.7</v>
      </c>
      <c r="AD43" s="420"/>
      <c r="AE43" s="414">
        <v>0.7</v>
      </c>
      <c r="AF43" s="420"/>
      <c r="AG43" s="414">
        <v>35</v>
      </c>
      <c r="AH43" s="416"/>
    </row>
    <row r="44" spans="11:34" s="421" customFormat="1" x14ac:dyDescent="0.2">
      <c r="K44" s="416" t="s">
        <v>460</v>
      </c>
      <c r="L44" s="417">
        <v>537</v>
      </c>
      <c r="M44" s="430">
        <v>45566</v>
      </c>
      <c r="N44" s="418">
        <v>30</v>
      </c>
      <c r="O44" s="419">
        <v>373</v>
      </c>
      <c r="P44" s="419">
        <v>249</v>
      </c>
      <c r="Q44" s="414">
        <v>2</v>
      </c>
      <c r="R44" s="419">
        <v>10</v>
      </c>
      <c r="S44" s="459">
        <v>5</v>
      </c>
      <c r="T44" s="414">
        <v>0.22</v>
      </c>
      <c r="U44" s="414"/>
      <c r="V44" s="414">
        <v>600</v>
      </c>
      <c r="W44" s="414">
        <v>50</v>
      </c>
      <c r="X44" s="414">
        <v>650</v>
      </c>
      <c r="Y44" s="414">
        <v>0.7</v>
      </c>
      <c r="Z44" s="420"/>
      <c r="AA44" s="414">
        <v>0.7</v>
      </c>
      <c r="AB44" s="420"/>
      <c r="AC44" s="414">
        <v>0.7</v>
      </c>
      <c r="AD44" s="420"/>
      <c r="AE44" s="414">
        <v>0.7</v>
      </c>
      <c r="AF44" s="420"/>
      <c r="AG44" s="414">
        <v>35</v>
      </c>
      <c r="AH44" s="416"/>
    </row>
    <row r="45" spans="11:34" s="421" customFormat="1" x14ac:dyDescent="0.2">
      <c r="K45" s="416" t="s">
        <v>646</v>
      </c>
      <c r="L45" s="417" t="s">
        <v>637</v>
      </c>
      <c r="M45" s="431">
        <v>45468</v>
      </c>
      <c r="N45" s="428">
        <v>17.5</v>
      </c>
      <c r="O45" s="428">
        <v>373</v>
      </c>
      <c r="P45" s="428">
        <v>249</v>
      </c>
      <c r="Q45" s="428">
        <v>2</v>
      </c>
      <c r="R45" s="428">
        <v>12</v>
      </c>
      <c r="S45" s="460">
        <f>5.8*1.5/1.8</f>
        <v>4.833333333333333</v>
      </c>
      <c r="T45" s="414">
        <v>0.09</v>
      </c>
      <c r="U45" s="428"/>
      <c r="V45" s="434">
        <v>350</v>
      </c>
      <c r="W45" s="434">
        <v>50</v>
      </c>
      <c r="X45" s="434">
        <v>400</v>
      </c>
      <c r="Y45" s="434">
        <v>0.7</v>
      </c>
      <c r="AA45" s="434">
        <v>0.7</v>
      </c>
      <c r="AC45" s="434">
        <v>0.7</v>
      </c>
      <c r="AG45" s="434">
        <v>35</v>
      </c>
      <c r="AH45" s="416"/>
    </row>
    <row r="46" spans="11:34" s="421" customFormat="1" x14ac:dyDescent="0.2">
      <c r="K46" s="416" t="s">
        <v>647</v>
      </c>
      <c r="L46" s="417" t="s">
        <v>637</v>
      </c>
      <c r="M46" s="431">
        <v>45468</v>
      </c>
      <c r="N46" s="432">
        <v>24</v>
      </c>
      <c r="O46" s="428">
        <v>373</v>
      </c>
      <c r="P46" s="428">
        <v>249</v>
      </c>
      <c r="Q46" s="428">
        <v>2</v>
      </c>
      <c r="R46" s="428">
        <v>12</v>
      </c>
      <c r="S46" s="460">
        <f>5.8*1.5/1.8</f>
        <v>4.833333333333333</v>
      </c>
      <c r="T46" s="414">
        <v>0.09</v>
      </c>
      <c r="U46" s="428"/>
      <c r="V46" s="434">
        <v>480</v>
      </c>
      <c r="W46" s="434">
        <v>50</v>
      </c>
      <c r="X46" s="434">
        <v>530</v>
      </c>
      <c r="Y46" s="434">
        <v>0.7</v>
      </c>
      <c r="AA46" s="434">
        <v>0.7</v>
      </c>
      <c r="AC46" s="434">
        <v>0.7</v>
      </c>
      <c r="AG46" s="434">
        <v>35</v>
      </c>
      <c r="AH46" s="416"/>
    </row>
    <row r="47" spans="11:34" s="421" customFormat="1" x14ac:dyDescent="0.2">
      <c r="K47" s="416"/>
      <c r="L47" s="417"/>
      <c r="M47" s="430"/>
      <c r="N47" s="418"/>
      <c r="O47" s="419"/>
      <c r="P47" s="419"/>
      <c r="Q47" s="414"/>
      <c r="R47" s="419"/>
      <c r="S47" s="459"/>
      <c r="T47" s="414"/>
      <c r="U47" s="414"/>
      <c r="V47" s="414"/>
      <c r="W47" s="414"/>
      <c r="X47" s="414"/>
      <c r="Y47" s="414"/>
      <c r="Z47" s="420"/>
      <c r="AA47" s="414"/>
      <c r="AB47" s="420"/>
      <c r="AC47" s="414"/>
      <c r="AD47" s="420"/>
      <c r="AE47" s="414"/>
      <c r="AF47" s="420"/>
      <c r="AG47" s="414"/>
      <c r="AH47" s="416"/>
    </row>
    <row r="48" spans="11:34" s="421" customFormat="1" x14ac:dyDescent="0.2">
      <c r="K48" s="416"/>
      <c r="L48" s="417"/>
      <c r="M48" s="430"/>
      <c r="N48" s="418"/>
      <c r="O48" s="419"/>
      <c r="P48" s="419"/>
      <c r="Q48" s="414"/>
      <c r="R48" s="419"/>
      <c r="S48" s="459"/>
      <c r="T48" s="414"/>
      <c r="U48" s="414"/>
      <c r="V48" s="414"/>
      <c r="W48" s="414"/>
      <c r="X48" s="414"/>
      <c r="Y48" s="414"/>
      <c r="Z48" s="420"/>
      <c r="AA48" s="414"/>
      <c r="AB48" s="420"/>
      <c r="AC48" s="414"/>
      <c r="AD48" s="420"/>
      <c r="AE48" s="414"/>
      <c r="AF48" s="420"/>
      <c r="AG48" s="414"/>
      <c r="AH48" s="416"/>
    </row>
    <row r="49" spans="7:34" s="421" customFormat="1" x14ac:dyDescent="0.2">
      <c r="K49" s="435"/>
      <c r="L49" s="436"/>
      <c r="M49" s="437"/>
      <c r="N49" s="438"/>
      <c r="O49" s="439"/>
      <c r="P49" s="439"/>
      <c r="Q49" s="440"/>
      <c r="R49" s="439"/>
      <c r="S49" s="461"/>
      <c r="T49" s="440"/>
      <c r="U49" s="440"/>
      <c r="V49" s="440"/>
      <c r="W49" s="440"/>
      <c r="X49" s="440"/>
      <c r="Y49" s="440"/>
      <c r="Z49" s="441"/>
      <c r="AA49" s="440"/>
      <c r="AB49" s="441"/>
      <c r="AC49" s="440"/>
      <c r="AD49" s="441"/>
      <c r="AE49" s="440"/>
      <c r="AF49" s="441"/>
      <c r="AG49" s="440"/>
      <c r="AH49" s="416"/>
    </row>
    <row r="50" spans="7:34" s="421" customFormat="1" x14ac:dyDescent="0.2">
      <c r="G50" s="426">
        <f>COUNTA(rD1.BrickProducts02)</f>
        <v>8</v>
      </c>
      <c r="K50" s="465" t="s">
        <v>396</v>
      </c>
      <c r="L50" s="466"/>
      <c r="M50" s="467"/>
      <c r="N50" s="468"/>
      <c r="O50" s="469"/>
      <c r="P50" s="469"/>
      <c r="Q50" s="470"/>
      <c r="R50" s="469"/>
      <c r="S50" s="471"/>
      <c r="T50" s="470"/>
      <c r="U50" s="470"/>
      <c r="V50" s="470"/>
      <c r="W50" s="470"/>
      <c r="X50" s="470"/>
      <c r="Y50" s="470"/>
      <c r="Z50" s="472"/>
      <c r="AA50" s="470"/>
      <c r="AB50" s="472"/>
      <c r="AC50" s="470"/>
      <c r="AD50" s="472"/>
      <c r="AE50" s="470"/>
      <c r="AF50" s="472"/>
      <c r="AG50" s="473"/>
      <c r="AH50" s="416"/>
    </row>
    <row r="51" spans="7:34" s="421" customFormat="1" x14ac:dyDescent="0.2">
      <c r="G51" s="429"/>
      <c r="K51" s="421" t="s">
        <v>656</v>
      </c>
      <c r="L51" s="464">
        <v>1216</v>
      </c>
      <c r="M51" s="431">
        <v>45939</v>
      </c>
      <c r="N51" s="432">
        <v>36.5</v>
      </c>
      <c r="O51" s="443">
        <v>248</v>
      </c>
      <c r="P51" s="443">
        <v>249</v>
      </c>
      <c r="Q51" s="434">
        <v>0.5</v>
      </c>
      <c r="R51" s="443">
        <v>4</v>
      </c>
      <c r="S51" s="460">
        <v>1.8</v>
      </c>
      <c r="T51" s="434">
        <v>0.22</v>
      </c>
      <c r="U51" s="434"/>
      <c r="V51" s="434">
        <v>219</v>
      </c>
      <c r="W51" s="434">
        <v>50</v>
      </c>
      <c r="X51" s="434">
        <f>V51+W51</f>
        <v>269</v>
      </c>
      <c r="Y51" s="434"/>
      <c r="Z51" s="444"/>
      <c r="AA51" s="434">
        <v>0.54</v>
      </c>
      <c r="AB51" s="444"/>
      <c r="AC51" s="434">
        <v>0.54</v>
      </c>
      <c r="AD51" s="444"/>
      <c r="AE51" s="434"/>
      <c r="AF51" s="444"/>
      <c r="AG51" s="423">
        <v>35</v>
      </c>
      <c r="AH51" s="429"/>
    </row>
    <row r="52" spans="7:34" s="421" customFormat="1" x14ac:dyDescent="0.2">
      <c r="G52" s="429"/>
      <c r="K52" s="421" t="s">
        <v>657</v>
      </c>
      <c r="L52" s="464">
        <v>1216</v>
      </c>
      <c r="M52" s="431">
        <v>45939</v>
      </c>
      <c r="N52" s="432">
        <v>42.5</v>
      </c>
      <c r="O52" s="443">
        <v>248</v>
      </c>
      <c r="P52" s="443">
        <v>249</v>
      </c>
      <c r="Q52" s="434">
        <v>0.5</v>
      </c>
      <c r="R52" s="443">
        <v>4</v>
      </c>
      <c r="S52" s="460">
        <v>1.8</v>
      </c>
      <c r="T52" s="434">
        <v>0.22</v>
      </c>
      <c r="U52" s="434"/>
      <c r="V52" s="434">
        <v>255</v>
      </c>
      <c r="W52" s="434">
        <v>50</v>
      </c>
      <c r="X52" s="434">
        <f>V52+W52</f>
        <v>305</v>
      </c>
      <c r="Y52" s="434"/>
      <c r="Z52" s="444"/>
      <c r="AA52" s="434">
        <v>0.54</v>
      </c>
      <c r="AB52" s="444"/>
      <c r="AC52" s="434">
        <v>0.54</v>
      </c>
      <c r="AD52" s="444"/>
      <c r="AE52" s="434"/>
      <c r="AF52" s="444"/>
      <c r="AG52" s="415">
        <v>35</v>
      </c>
      <c r="AH52" s="429"/>
    </row>
    <row r="53" spans="7:34" s="421" customFormat="1" x14ac:dyDescent="0.2">
      <c r="I53" s="429"/>
      <c r="J53" s="429"/>
      <c r="K53" s="416" t="s">
        <v>417</v>
      </c>
      <c r="L53" s="464">
        <v>1207</v>
      </c>
      <c r="M53" s="430">
        <v>45622</v>
      </c>
      <c r="N53" s="418">
        <v>36.5</v>
      </c>
      <c r="O53" s="419">
        <v>248</v>
      </c>
      <c r="P53" s="419">
        <v>249</v>
      </c>
      <c r="Q53" s="414">
        <v>0.55000000000000004</v>
      </c>
      <c r="R53" s="419">
        <v>6</v>
      </c>
      <c r="S53" s="459">
        <v>1.9</v>
      </c>
      <c r="T53" s="414">
        <v>0.22</v>
      </c>
      <c r="U53" s="414"/>
      <c r="V53" s="414">
        <v>237.25</v>
      </c>
      <c r="W53" s="414">
        <v>50</v>
      </c>
      <c r="X53" s="414">
        <v>287.25</v>
      </c>
      <c r="Y53" s="414"/>
      <c r="Z53" s="420"/>
      <c r="AA53" s="414">
        <v>0.54</v>
      </c>
      <c r="AB53" s="420"/>
      <c r="AC53" s="414">
        <v>0.54</v>
      </c>
      <c r="AD53" s="420"/>
      <c r="AE53" s="414"/>
      <c r="AF53" s="420"/>
      <c r="AG53" s="415">
        <v>35</v>
      </c>
    </row>
    <row r="54" spans="7:34" s="421" customFormat="1" x14ac:dyDescent="0.2">
      <c r="K54" s="416" t="s">
        <v>418</v>
      </c>
      <c r="L54" s="464">
        <v>1207</v>
      </c>
      <c r="M54" s="430">
        <v>45622</v>
      </c>
      <c r="N54" s="418">
        <v>42.5</v>
      </c>
      <c r="O54" s="419">
        <v>248</v>
      </c>
      <c r="P54" s="419">
        <v>249</v>
      </c>
      <c r="Q54" s="414">
        <v>0.55000000000000004</v>
      </c>
      <c r="R54" s="419">
        <v>6</v>
      </c>
      <c r="S54" s="459">
        <v>1.9</v>
      </c>
      <c r="T54" s="414">
        <v>0.22</v>
      </c>
      <c r="U54" s="414"/>
      <c r="V54" s="414">
        <v>276.25</v>
      </c>
      <c r="W54" s="414">
        <v>50</v>
      </c>
      <c r="X54" s="414">
        <v>326.25</v>
      </c>
      <c r="Y54" s="414"/>
      <c r="Z54" s="420"/>
      <c r="AA54" s="414">
        <v>0.54</v>
      </c>
      <c r="AB54" s="420"/>
      <c r="AC54" s="414">
        <v>0.54</v>
      </c>
      <c r="AD54" s="420"/>
      <c r="AE54" s="414"/>
      <c r="AF54" s="420"/>
      <c r="AG54" s="415">
        <v>35</v>
      </c>
    </row>
    <row r="55" spans="7:34" s="421" customFormat="1" x14ac:dyDescent="0.2">
      <c r="K55" s="416" t="s">
        <v>419</v>
      </c>
      <c r="L55" s="464">
        <v>1207</v>
      </c>
      <c r="M55" s="430">
        <v>45622</v>
      </c>
      <c r="N55" s="418">
        <v>49</v>
      </c>
      <c r="O55" s="419">
        <v>248</v>
      </c>
      <c r="P55" s="419">
        <v>249</v>
      </c>
      <c r="Q55" s="414">
        <v>0.55000000000000004</v>
      </c>
      <c r="R55" s="419">
        <v>4</v>
      </c>
      <c r="S55" s="459">
        <v>1.4</v>
      </c>
      <c r="T55" s="414">
        <v>0.22</v>
      </c>
      <c r="U55" s="414"/>
      <c r="V55" s="414">
        <v>318.5</v>
      </c>
      <c r="W55" s="414">
        <v>50</v>
      </c>
      <c r="X55" s="414">
        <v>368.5</v>
      </c>
      <c r="Y55" s="414"/>
      <c r="Z55" s="420"/>
      <c r="AA55" s="414">
        <v>0.54</v>
      </c>
      <c r="AB55" s="420"/>
      <c r="AC55" s="414">
        <v>0.54</v>
      </c>
      <c r="AD55" s="420"/>
      <c r="AE55" s="414"/>
      <c r="AF55" s="420"/>
      <c r="AG55" s="415">
        <v>35</v>
      </c>
    </row>
    <row r="56" spans="7:34" s="421" customFormat="1" x14ac:dyDescent="0.2">
      <c r="K56" s="416" t="s">
        <v>420</v>
      </c>
      <c r="L56" s="464">
        <v>1222</v>
      </c>
      <c r="M56" s="430">
        <v>46076</v>
      </c>
      <c r="N56" s="418">
        <v>30</v>
      </c>
      <c r="O56" s="419">
        <v>248</v>
      </c>
      <c r="P56" s="419">
        <v>249</v>
      </c>
      <c r="Q56" s="414">
        <v>0.6</v>
      </c>
      <c r="R56" s="419">
        <v>8</v>
      </c>
      <c r="S56" s="459">
        <v>2.4</v>
      </c>
      <c r="T56" s="414">
        <v>0.22</v>
      </c>
      <c r="U56" s="414">
        <v>0.04</v>
      </c>
      <c r="V56" s="414">
        <v>210</v>
      </c>
      <c r="W56" s="414">
        <v>50</v>
      </c>
      <c r="X56" s="414">
        <v>260</v>
      </c>
      <c r="Y56" s="414">
        <v>0.56999999999999995</v>
      </c>
      <c r="Z56" s="420"/>
      <c r="AA56" s="414">
        <v>0.56999999999999995</v>
      </c>
      <c r="AB56" s="420"/>
      <c r="AC56" s="414">
        <v>0.56999999999999995</v>
      </c>
      <c r="AD56" s="420"/>
      <c r="AE56" s="414">
        <v>0.56999999999999995</v>
      </c>
      <c r="AF56" s="420"/>
      <c r="AG56" s="415">
        <v>35</v>
      </c>
    </row>
    <row r="57" spans="7:34" s="421" customFormat="1" x14ac:dyDescent="0.2">
      <c r="K57" s="416" t="s">
        <v>421</v>
      </c>
      <c r="L57" s="464">
        <v>1222</v>
      </c>
      <c r="M57" s="430">
        <v>46076</v>
      </c>
      <c r="N57" s="418">
        <v>36.5</v>
      </c>
      <c r="O57" s="419">
        <v>248</v>
      </c>
      <c r="P57" s="419">
        <v>249</v>
      </c>
      <c r="Q57" s="414">
        <v>0.6</v>
      </c>
      <c r="R57" s="419">
        <v>8</v>
      </c>
      <c r="S57" s="459">
        <v>2.4</v>
      </c>
      <c r="T57" s="414">
        <v>0.22</v>
      </c>
      <c r="U57" s="414">
        <v>0.04</v>
      </c>
      <c r="V57" s="414">
        <v>255.49999999999997</v>
      </c>
      <c r="W57" s="414">
        <v>50</v>
      </c>
      <c r="X57" s="414">
        <v>305.5</v>
      </c>
      <c r="Y57" s="414">
        <v>0.6</v>
      </c>
      <c r="Z57" s="420"/>
      <c r="AA57" s="414">
        <v>0.6</v>
      </c>
      <c r="AB57" s="420"/>
      <c r="AC57" s="414">
        <v>0.6</v>
      </c>
      <c r="AD57" s="420"/>
      <c r="AE57" s="414">
        <v>0.6</v>
      </c>
      <c r="AF57" s="420"/>
      <c r="AG57" s="415">
        <v>35</v>
      </c>
    </row>
    <row r="58" spans="7:34" s="421" customFormat="1" x14ac:dyDescent="0.2">
      <c r="K58" s="416" t="s">
        <v>422</v>
      </c>
      <c r="L58" s="464">
        <v>1222</v>
      </c>
      <c r="M58" s="430">
        <v>46076</v>
      </c>
      <c r="N58" s="418">
        <v>42.5</v>
      </c>
      <c r="O58" s="419">
        <v>248</v>
      </c>
      <c r="P58" s="419">
        <v>249</v>
      </c>
      <c r="Q58" s="414">
        <v>0.6</v>
      </c>
      <c r="R58" s="419">
        <v>8</v>
      </c>
      <c r="S58" s="459">
        <v>2.4</v>
      </c>
      <c r="T58" s="414">
        <v>0.22</v>
      </c>
      <c r="U58" s="414">
        <v>0.04</v>
      </c>
      <c r="V58" s="414">
        <v>297.5</v>
      </c>
      <c r="W58" s="414">
        <v>50</v>
      </c>
      <c r="X58" s="414">
        <v>347.5</v>
      </c>
      <c r="Y58" s="414">
        <v>0.6</v>
      </c>
      <c r="Z58" s="420"/>
      <c r="AA58" s="414">
        <v>0.6</v>
      </c>
      <c r="AB58" s="420"/>
      <c r="AC58" s="414">
        <v>0.6</v>
      </c>
      <c r="AD58" s="420"/>
      <c r="AE58" s="414">
        <v>0.6</v>
      </c>
      <c r="AF58" s="420"/>
      <c r="AG58" s="415">
        <v>35</v>
      </c>
    </row>
    <row r="59" spans="7:34" s="421" customFormat="1" x14ac:dyDescent="0.2">
      <c r="K59" s="416"/>
      <c r="L59" s="417"/>
      <c r="M59" s="430"/>
      <c r="N59" s="418"/>
      <c r="O59" s="419"/>
      <c r="P59" s="419"/>
      <c r="Q59" s="414"/>
      <c r="R59" s="419"/>
      <c r="S59" s="459"/>
      <c r="T59" s="414"/>
      <c r="U59" s="414"/>
      <c r="V59" s="414"/>
      <c r="W59" s="414"/>
      <c r="X59" s="414"/>
      <c r="Y59" s="414"/>
      <c r="Z59" s="420"/>
      <c r="AA59" s="414"/>
      <c r="AB59" s="420"/>
      <c r="AC59" s="414"/>
      <c r="AD59" s="420"/>
      <c r="AE59" s="414"/>
      <c r="AF59" s="420"/>
      <c r="AG59" s="415"/>
    </row>
    <row r="60" spans="7:34" s="421" customFormat="1" x14ac:dyDescent="0.2">
      <c r="K60" s="416"/>
      <c r="L60" s="417"/>
      <c r="M60" s="430"/>
      <c r="N60" s="418"/>
      <c r="O60" s="419"/>
      <c r="P60" s="419"/>
      <c r="Q60" s="414"/>
      <c r="R60" s="419"/>
      <c r="S60" s="459"/>
      <c r="T60" s="414"/>
      <c r="U60" s="414"/>
      <c r="V60" s="414"/>
      <c r="W60" s="414"/>
      <c r="X60" s="414"/>
      <c r="Y60" s="414"/>
      <c r="Z60" s="420"/>
      <c r="AA60" s="414"/>
      <c r="AB60" s="420"/>
      <c r="AC60" s="414"/>
      <c r="AD60" s="420"/>
      <c r="AE60" s="414"/>
      <c r="AF60" s="420"/>
      <c r="AG60" s="415"/>
    </row>
    <row r="61" spans="7:34" s="421" customFormat="1" x14ac:dyDescent="0.2">
      <c r="K61" s="435"/>
      <c r="L61" s="436"/>
      <c r="M61" s="437"/>
      <c r="N61" s="438"/>
      <c r="O61" s="439"/>
      <c r="P61" s="439"/>
      <c r="Q61" s="440"/>
      <c r="R61" s="439"/>
      <c r="S61" s="461"/>
      <c r="T61" s="440"/>
      <c r="U61" s="440"/>
      <c r="V61" s="440"/>
      <c r="W61" s="440"/>
      <c r="X61" s="440"/>
      <c r="Y61" s="440"/>
      <c r="Z61" s="441"/>
      <c r="AA61" s="440"/>
      <c r="AB61" s="441"/>
      <c r="AC61" s="440"/>
      <c r="AD61" s="441"/>
      <c r="AE61" s="440"/>
      <c r="AF61" s="441"/>
      <c r="AG61" s="422"/>
    </row>
    <row r="62" spans="7:34" s="421" customFormat="1" x14ac:dyDescent="0.2">
      <c r="G62" s="426">
        <f>COUNTA(rD1.BrickProducts03)</f>
        <v>14</v>
      </c>
      <c r="K62" s="465" t="s">
        <v>397</v>
      </c>
      <c r="L62" s="466"/>
      <c r="M62" s="467"/>
      <c r="N62" s="468"/>
      <c r="O62" s="469"/>
      <c r="P62" s="469"/>
      <c r="Q62" s="470"/>
      <c r="R62" s="469"/>
      <c r="S62" s="471"/>
      <c r="T62" s="470"/>
      <c r="U62" s="470"/>
      <c r="V62" s="470"/>
      <c r="W62" s="470"/>
      <c r="X62" s="470"/>
      <c r="Y62" s="470"/>
      <c r="Z62" s="472"/>
      <c r="AA62" s="470"/>
      <c r="AB62" s="472"/>
      <c r="AC62" s="470"/>
      <c r="AD62" s="472"/>
      <c r="AE62" s="470"/>
      <c r="AF62" s="472"/>
      <c r="AG62" s="473"/>
    </row>
    <row r="63" spans="7:34" s="421" customFormat="1" x14ac:dyDescent="0.2">
      <c r="K63" s="416" t="s">
        <v>660</v>
      </c>
      <c r="L63" s="417">
        <v>1060</v>
      </c>
      <c r="M63" s="430">
        <v>45524</v>
      </c>
      <c r="N63" s="418">
        <v>36.5</v>
      </c>
      <c r="O63" s="419">
        <v>248</v>
      </c>
      <c r="P63" s="419">
        <v>249</v>
      </c>
      <c r="Q63" s="414">
        <v>0.55000000000000004</v>
      </c>
      <c r="R63" s="419">
        <v>6</v>
      </c>
      <c r="S63" s="459">
        <v>1.9</v>
      </c>
      <c r="T63" s="414">
        <v>0.22</v>
      </c>
      <c r="U63" s="414">
        <v>0.04</v>
      </c>
      <c r="V63" s="414">
        <v>237.25</v>
      </c>
      <c r="W63" s="414">
        <v>50</v>
      </c>
      <c r="X63" s="414">
        <v>287.25</v>
      </c>
      <c r="Y63" s="414">
        <v>0.7</v>
      </c>
      <c r="Z63" s="420"/>
      <c r="AA63" s="414">
        <v>0.7</v>
      </c>
      <c r="AB63" s="420"/>
      <c r="AC63" s="414">
        <v>0.7</v>
      </c>
      <c r="AD63" s="420"/>
      <c r="AE63" s="414">
        <v>0.7</v>
      </c>
      <c r="AF63" s="420"/>
      <c r="AG63" s="415">
        <v>35</v>
      </c>
    </row>
    <row r="64" spans="7:34" s="421" customFormat="1" x14ac:dyDescent="0.2">
      <c r="K64" s="416" t="s">
        <v>659</v>
      </c>
      <c r="L64" s="417">
        <v>1060</v>
      </c>
      <c r="M64" s="430">
        <v>45524</v>
      </c>
      <c r="N64" s="418">
        <v>42.5</v>
      </c>
      <c r="O64" s="419">
        <v>248</v>
      </c>
      <c r="P64" s="419">
        <v>249</v>
      </c>
      <c r="Q64" s="414">
        <v>0.55000000000000004</v>
      </c>
      <c r="R64" s="419">
        <v>6</v>
      </c>
      <c r="S64" s="459">
        <v>1.9</v>
      </c>
      <c r="T64" s="414">
        <v>0.22</v>
      </c>
      <c r="U64" s="414">
        <v>0.04</v>
      </c>
      <c r="V64" s="414">
        <v>276.25</v>
      </c>
      <c r="W64" s="414">
        <v>50</v>
      </c>
      <c r="X64" s="414">
        <v>326.25</v>
      </c>
      <c r="Y64" s="414">
        <v>0.7</v>
      </c>
      <c r="Z64" s="420"/>
      <c r="AA64" s="414">
        <v>0.7</v>
      </c>
      <c r="AB64" s="420"/>
      <c r="AC64" s="414">
        <v>0.7</v>
      </c>
      <c r="AD64" s="420"/>
      <c r="AE64" s="414">
        <v>0.7</v>
      </c>
      <c r="AF64" s="420"/>
      <c r="AG64" s="415">
        <v>35</v>
      </c>
    </row>
    <row r="65" spans="7:34" s="421" customFormat="1" x14ac:dyDescent="0.2">
      <c r="K65" s="416" t="s">
        <v>658</v>
      </c>
      <c r="L65" s="417">
        <v>1060</v>
      </c>
      <c r="M65" s="430">
        <v>45524</v>
      </c>
      <c r="N65" s="418">
        <v>49</v>
      </c>
      <c r="O65" s="419">
        <v>248</v>
      </c>
      <c r="P65" s="419">
        <v>249</v>
      </c>
      <c r="Q65" s="414">
        <v>0.55000000000000004</v>
      </c>
      <c r="R65" s="419">
        <v>6</v>
      </c>
      <c r="S65" s="459">
        <v>1.9</v>
      </c>
      <c r="T65" s="414">
        <v>0.22</v>
      </c>
      <c r="U65" s="414">
        <v>0.04</v>
      </c>
      <c r="V65" s="414">
        <v>318.5</v>
      </c>
      <c r="W65" s="414">
        <v>50</v>
      </c>
      <c r="X65" s="414">
        <v>368.5</v>
      </c>
      <c r="Y65" s="414">
        <v>0.7</v>
      </c>
      <c r="Z65" s="420"/>
      <c r="AA65" s="414">
        <v>0.7</v>
      </c>
      <c r="AB65" s="420"/>
      <c r="AC65" s="414">
        <v>0.7</v>
      </c>
      <c r="AD65" s="420"/>
      <c r="AE65" s="414">
        <v>0.7</v>
      </c>
      <c r="AF65" s="420"/>
      <c r="AG65" s="415">
        <v>35</v>
      </c>
    </row>
    <row r="66" spans="7:34" s="421" customFormat="1" x14ac:dyDescent="0.2">
      <c r="K66" s="416" t="s">
        <v>648</v>
      </c>
      <c r="L66" s="417" t="s">
        <v>632</v>
      </c>
      <c r="M66" s="430">
        <v>45468</v>
      </c>
      <c r="N66" s="418">
        <v>36.5</v>
      </c>
      <c r="O66" s="419">
        <v>248</v>
      </c>
      <c r="P66" s="419">
        <v>249</v>
      </c>
      <c r="Q66" s="414">
        <v>0.55000000000000004</v>
      </c>
      <c r="R66" s="419">
        <v>6</v>
      </c>
      <c r="S66" s="459">
        <f>1.1*1.5/1.8</f>
        <v>0.91666666666666674</v>
      </c>
      <c r="T66" s="414">
        <v>0.09</v>
      </c>
      <c r="U66" s="414"/>
      <c r="V66" s="414">
        <v>237.25</v>
      </c>
      <c r="W66" s="414">
        <v>50</v>
      </c>
      <c r="X66" s="414">
        <v>287.25</v>
      </c>
      <c r="Y66" s="414">
        <v>0.7</v>
      </c>
      <c r="Z66" s="420"/>
      <c r="AA66" s="414">
        <v>0.7</v>
      </c>
      <c r="AB66" s="420"/>
      <c r="AC66" s="414">
        <v>0.7</v>
      </c>
      <c r="AD66" s="420"/>
      <c r="AE66" s="414"/>
      <c r="AF66" s="420"/>
      <c r="AG66" s="415">
        <v>35</v>
      </c>
    </row>
    <row r="67" spans="7:34" s="421" customFormat="1" x14ac:dyDescent="0.2">
      <c r="K67" s="416" t="s">
        <v>649</v>
      </c>
      <c r="L67" s="417" t="s">
        <v>632</v>
      </c>
      <c r="M67" s="430">
        <v>45468</v>
      </c>
      <c r="N67" s="418">
        <v>42.5</v>
      </c>
      <c r="O67" s="419">
        <v>248</v>
      </c>
      <c r="P67" s="419">
        <v>249</v>
      </c>
      <c r="Q67" s="414">
        <v>0.55000000000000004</v>
      </c>
      <c r="R67" s="419">
        <v>6</v>
      </c>
      <c r="S67" s="459">
        <f>1.1*1.5/1.8</f>
        <v>0.91666666666666674</v>
      </c>
      <c r="T67" s="414">
        <v>0.09</v>
      </c>
      <c r="U67" s="414"/>
      <c r="V67" s="414">
        <v>276.25</v>
      </c>
      <c r="W67" s="414">
        <v>50</v>
      </c>
      <c r="X67" s="414">
        <v>326.25</v>
      </c>
      <c r="Y67" s="414">
        <v>0.7</v>
      </c>
      <c r="Z67" s="420"/>
      <c r="AA67" s="414">
        <v>0.7</v>
      </c>
      <c r="AB67" s="420"/>
      <c r="AC67" s="414">
        <v>0.7</v>
      </c>
      <c r="AD67" s="420"/>
      <c r="AE67" s="414"/>
      <c r="AF67" s="420"/>
      <c r="AG67" s="415">
        <v>35</v>
      </c>
    </row>
    <row r="68" spans="7:34" s="421" customFormat="1" x14ac:dyDescent="0.2">
      <c r="K68" s="416" t="s">
        <v>601</v>
      </c>
      <c r="L68" s="417">
        <v>1041</v>
      </c>
      <c r="M68" s="430">
        <v>45762</v>
      </c>
      <c r="N68" s="418">
        <v>30</v>
      </c>
      <c r="O68" s="419">
        <v>248</v>
      </c>
      <c r="P68" s="419">
        <v>249</v>
      </c>
      <c r="Q68" s="414">
        <v>0.65</v>
      </c>
      <c r="R68" s="419">
        <v>6</v>
      </c>
      <c r="S68" s="459">
        <v>2.1</v>
      </c>
      <c r="T68" s="414">
        <v>0.22</v>
      </c>
      <c r="U68" s="414"/>
      <c r="V68" s="414">
        <v>225</v>
      </c>
      <c r="W68" s="414">
        <v>50</v>
      </c>
      <c r="X68" s="414">
        <v>275</v>
      </c>
      <c r="Y68" s="414">
        <v>0.7</v>
      </c>
      <c r="Z68" s="420"/>
      <c r="AA68" s="414">
        <v>0.7</v>
      </c>
      <c r="AB68" s="420"/>
      <c r="AC68" s="414">
        <v>0.7</v>
      </c>
      <c r="AD68" s="420"/>
      <c r="AE68" s="414"/>
      <c r="AF68" s="420"/>
      <c r="AG68" s="415">
        <v>35</v>
      </c>
    </row>
    <row r="69" spans="7:34" s="421" customFormat="1" x14ac:dyDescent="0.2">
      <c r="K69" s="416" t="s">
        <v>598</v>
      </c>
      <c r="L69" s="417">
        <v>1005</v>
      </c>
      <c r="M69" s="430">
        <v>45236</v>
      </c>
      <c r="N69" s="418">
        <v>30</v>
      </c>
      <c r="O69" s="419">
        <v>248</v>
      </c>
      <c r="P69" s="419">
        <v>249</v>
      </c>
      <c r="Q69" s="414">
        <v>0.55000000000000004</v>
      </c>
      <c r="R69" s="419">
        <v>6</v>
      </c>
      <c r="S69" s="459">
        <v>1.8</v>
      </c>
      <c r="T69" s="414">
        <v>0.22</v>
      </c>
      <c r="U69" s="414"/>
      <c r="V69" s="414">
        <f>N69/100*(Q69+0.1)*1000</f>
        <v>195</v>
      </c>
      <c r="W69" s="414">
        <v>50</v>
      </c>
      <c r="X69" s="414">
        <f>V69+W69</f>
        <v>245</v>
      </c>
      <c r="Y69" s="414"/>
      <c r="Z69" s="420"/>
      <c r="AA69" s="414"/>
      <c r="AB69" s="420"/>
      <c r="AC69" s="414"/>
      <c r="AD69" s="420">
        <v>3.7900000000000003E-2</v>
      </c>
      <c r="AE69" s="414"/>
      <c r="AF69" s="420"/>
      <c r="AG69" s="415"/>
    </row>
    <row r="70" spans="7:34" s="421" customFormat="1" x14ac:dyDescent="0.2">
      <c r="K70" s="416" t="s">
        <v>602</v>
      </c>
      <c r="L70" s="417">
        <v>1041</v>
      </c>
      <c r="M70" s="430">
        <v>45762</v>
      </c>
      <c r="N70" s="418">
        <v>36.5</v>
      </c>
      <c r="O70" s="419">
        <v>248</v>
      </c>
      <c r="P70" s="419">
        <v>249</v>
      </c>
      <c r="Q70" s="414">
        <v>0.65</v>
      </c>
      <c r="R70" s="419">
        <v>6</v>
      </c>
      <c r="S70" s="459">
        <v>2.1</v>
      </c>
      <c r="T70" s="414">
        <v>0.22</v>
      </c>
      <c r="U70" s="414"/>
      <c r="V70" s="414">
        <v>273.75</v>
      </c>
      <c r="W70" s="414">
        <v>50</v>
      </c>
      <c r="X70" s="414">
        <v>323.75</v>
      </c>
      <c r="Y70" s="414">
        <v>0.7</v>
      </c>
      <c r="Z70" s="420"/>
      <c r="AA70" s="414">
        <v>0.7</v>
      </c>
      <c r="AB70" s="420"/>
      <c r="AC70" s="414">
        <v>0.7</v>
      </c>
      <c r="AD70" s="420"/>
      <c r="AE70" s="414"/>
      <c r="AF70" s="420"/>
      <c r="AG70" s="415">
        <v>35</v>
      </c>
    </row>
    <row r="71" spans="7:34" s="421" customFormat="1" x14ac:dyDescent="0.2">
      <c r="K71" s="416" t="s">
        <v>599</v>
      </c>
      <c r="L71" s="417">
        <v>1005</v>
      </c>
      <c r="M71" s="430">
        <v>45236</v>
      </c>
      <c r="N71" s="418">
        <v>36.5</v>
      </c>
      <c r="O71" s="419">
        <v>248</v>
      </c>
      <c r="P71" s="419">
        <v>249</v>
      </c>
      <c r="Q71" s="414">
        <v>0.55000000000000004</v>
      </c>
      <c r="R71" s="419">
        <v>6</v>
      </c>
      <c r="S71" s="459">
        <v>1.8</v>
      </c>
      <c r="T71" s="414">
        <v>0.22</v>
      </c>
      <c r="U71" s="414"/>
      <c r="V71" s="414">
        <f>N71/100*(Q71+0.1)*1000</f>
        <v>237.25</v>
      </c>
      <c r="W71" s="414">
        <v>50</v>
      </c>
      <c r="X71" s="414">
        <f>V71+W71</f>
        <v>287.25</v>
      </c>
      <c r="Y71" s="414">
        <v>0.65</v>
      </c>
      <c r="Z71" s="420"/>
      <c r="AA71" s="414">
        <v>0.65</v>
      </c>
      <c r="AB71" s="420"/>
      <c r="AC71" s="414">
        <v>0.65</v>
      </c>
      <c r="AD71" s="420"/>
      <c r="AE71" s="414">
        <v>0.65</v>
      </c>
      <c r="AF71" s="420"/>
      <c r="AG71" s="415"/>
    </row>
    <row r="72" spans="7:34" s="421" customFormat="1" x14ac:dyDescent="0.2">
      <c r="K72" s="416" t="s">
        <v>603</v>
      </c>
      <c r="L72" s="417">
        <v>1041</v>
      </c>
      <c r="M72" s="430">
        <v>45762</v>
      </c>
      <c r="N72" s="418">
        <v>42.5</v>
      </c>
      <c r="O72" s="419">
        <v>248</v>
      </c>
      <c r="P72" s="419">
        <v>249</v>
      </c>
      <c r="Q72" s="414">
        <v>0.65</v>
      </c>
      <c r="R72" s="419">
        <v>6</v>
      </c>
      <c r="S72" s="459">
        <v>2.1</v>
      </c>
      <c r="T72" s="414">
        <v>0.22</v>
      </c>
      <c r="U72" s="414"/>
      <c r="V72" s="414">
        <v>318.75</v>
      </c>
      <c r="W72" s="414">
        <v>50</v>
      </c>
      <c r="X72" s="414">
        <v>368.75</v>
      </c>
      <c r="Y72" s="414">
        <v>0.7</v>
      </c>
      <c r="Z72" s="420"/>
      <c r="AA72" s="414">
        <v>0.7</v>
      </c>
      <c r="AB72" s="420"/>
      <c r="AC72" s="414">
        <v>0.7</v>
      </c>
      <c r="AD72" s="420"/>
      <c r="AE72" s="414"/>
      <c r="AF72" s="420"/>
      <c r="AG72" s="415">
        <v>35</v>
      </c>
    </row>
    <row r="73" spans="7:34" s="421" customFormat="1" x14ac:dyDescent="0.2">
      <c r="K73" s="416" t="s">
        <v>600</v>
      </c>
      <c r="L73" s="417">
        <v>1005</v>
      </c>
      <c r="M73" s="430">
        <v>45236</v>
      </c>
      <c r="N73" s="418">
        <v>42.5</v>
      </c>
      <c r="O73" s="419">
        <v>248</v>
      </c>
      <c r="P73" s="419">
        <v>249</v>
      </c>
      <c r="Q73" s="414">
        <v>0.55000000000000004</v>
      </c>
      <c r="R73" s="419">
        <v>6</v>
      </c>
      <c r="S73" s="459">
        <v>1.8</v>
      </c>
      <c r="T73" s="414">
        <v>0.22</v>
      </c>
      <c r="U73" s="414"/>
      <c r="V73" s="414">
        <f>N73/100*(Q73+0.1)*1000</f>
        <v>276.25</v>
      </c>
      <c r="W73" s="414">
        <v>50</v>
      </c>
      <c r="X73" s="414">
        <f>V73+W73</f>
        <v>326.25</v>
      </c>
      <c r="Y73" s="414">
        <v>0.65</v>
      </c>
      <c r="Z73" s="420"/>
      <c r="AA73" s="414">
        <v>0.65</v>
      </c>
      <c r="AB73" s="420"/>
      <c r="AC73" s="414">
        <v>0.65</v>
      </c>
      <c r="AD73" s="420"/>
      <c r="AE73" s="414">
        <v>0.65</v>
      </c>
      <c r="AF73" s="420"/>
      <c r="AG73" s="414"/>
      <c r="AH73" s="416"/>
    </row>
    <row r="74" spans="7:34" s="421" customFormat="1" x14ac:dyDescent="0.2">
      <c r="K74" s="416" t="s">
        <v>650</v>
      </c>
      <c r="L74" s="417" t="s">
        <v>633</v>
      </c>
      <c r="M74" s="431">
        <v>45454</v>
      </c>
      <c r="N74" s="432">
        <v>30</v>
      </c>
      <c r="O74" s="428">
        <v>248</v>
      </c>
      <c r="P74" s="428">
        <v>249</v>
      </c>
      <c r="Q74" s="428">
        <v>0.65</v>
      </c>
      <c r="R74" s="428">
        <v>6</v>
      </c>
      <c r="S74" s="458">
        <f>1.5*1.5/1.8</f>
        <v>1.25</v>
      </c>
      <c r="T74" s="428">
        <v>0.09</v>
      </c>
      <c r="U74" s="428"/>
      <c r="V74" s="434">
        <v>225</v>
      </c>
      <c r="W74" s="434">
        <v>50</v>
      </c>
      <c r="X74" s="434">
        <v>275</v>
      </c>
      <c r="AG74" s="415">
        <v>35</v>
      </c>
      <c r="AH74" s="416"/>
    </row>
    <row r="75" spans="7:34" s="421" customFormat="1" x14ac:dyDescent="0.2">
      <c r="K75" s="416" t="s">
        <v>651</v>
      </c>
      <c r="L75" s="417" t="s">
        <v>633</v>
      </c>
      <c r="M75" s="431">
        <v>45454</v>
      </c>
      <c r="N75" s="428">
        <v>36.5</v>
      </c>
      <c r="O75" s="428">
        <v>248</v>
      </c>
      <c r="P75" s="428">
        <v>249</v>
      </c>
      <c r="Q75" s="428">
        <v>0.65</v>
      </c>
      <c r="R75" s="428">
        <v>6</v>
      </c>
      <c r="S75" s="458">
        <f>1.5*1.5/1.8</f>
        <v>1.25</v>
      </c>
      <c r="T75" s="428">
        <v>0.09</v>
      </c>
      <c r="U75" s="428"/>
      <c r="V75" s="428">
        <v>273.75</v>
      </c>
      <c r="W75" s="434">
        <v>50</v>
      </c>
      <c r="X75" s="428">
        <v>323.75</v>
      </c>
      <c r="Y75" s="428">
        <v>0.55000000000000004</v>
      </c>
      <c r="AA75" s="428">
        <v>0.55000000000000004</v>
      </c>
      <c r="AC75" s="428">
        <v>0.55000000000000004</v>
      </c>
      <c r="AE75" s="428"/>
      <c r="AG75" s="415">
        <v>35</v>
      </c>
      <c r="AH75" s="416"/>
    </row>
    <row r="76" spans="7:34" s="421" customFormat="1" x14ac:dyDescent="0.2">
      <c r="K76" s="416" t="s">
        <v>652</v>
      </c>
      <c r="L76" s="417" t="s">
        <v>633</v>
      </c>
      <c r="M76" s="431">
        <v>45454</v>
      </c>
      <c r="N76" s="428">
        <v>42.5</v>
      </c>
      <c r="O76" s="428">
        <v>248</v>
      </c>
      <c r="P76" s="428">
        <v>249</v>
      </c>
      <c r="Q76" s="428">
        <v>0.65</v>
      </c>
      <c r="R76" s="428">
        <v>6</v>
      </c>
      <c r="S76" s="458">
        <f>1.5*1.5/1.8</f>
        <v>1.25</v>
      </c>
      <c r="T76" s="428">
        <v>0.09</v>
      </c>
      <c r="U76" s="428"/>
      <c r="V76" s="428">
        <v>318.75</v>
      </c>
      <c r="W76" s="434">
        <v>50</v>
      </c>
      <c r="X76" s="428">
        <v>368.75</v>
      </c>
      <c r="Y76" s="428">
        <v>0.55000000000000004</v>
      </c>
      <c r="AA76" s="428">
        <v>0.55000000000000004</v>
      </c>
      <c r="AC76" s="428">
        <v>0.55000000000000004</v>
      </c>
      <c r="AE76" s="428"/>
      <c r="AG76" s="415">
        <v>35</v>
      </c>
      <c r="AH76" s="416"/>
    </row>
    <row r="77" spans="7:34" s="421" customFormat="1" x14ac:dyDescent="0.2">
      <c r="K77" s="416"/>
      <c r="L77" s="417"/>
      <c r="M77" s="430"/>
      <c r="N77" s="418"/>
      <c r="O77" s="419"/>
      <c r="P77" s="419"/>
      <c r="Q77" s="414"/>
      <c r="R77" s="419"/>
      <c r="S77" s="459"/>
      <c r="T77" s="414"/>
      <c r="U77" s="414"/>
      <c r="V77" s="414"/>
      <c r="W77" s="414"/>
      <c r="X77" s="414"/>
      <c r="Y77" s="414"/>
      <c r="Z77" s="420"/>
      <c r="AA77" s="414"/>
      <c r="AB77" s="420"/>
      <c r="AC77" s="414"/>
      <c r="AD77" s="420"/>
      <c r="AE77" s="414"/>
      <c r="AF77" s="420"/>
      <c r="AG77" s="415"/>
    </row>
    <row r="78" spans="7:34" s="421" customFormat="1" x14ac:dyDescent="0.2">
      <c r="K78" s="435"/>
      <c r="L78" s="436"/>
      <c r="M78" s="437"/>
      <c r="N78" s="438"/>
      <c r="O78" s="439"/>
      <c r="P78" s="439"/>
      <c r="Q78" s="440"/>
      <c r="R78" s="439"/>
      <c r="S78" s="461"/>
      <c r="T78" s="440"/>
      <c r="U78" s="440"/>
      <c r="V78" s="440"/>
      <c r="W78" s="440"/>
      <c r="X78" s="440"/>
      <c r="Y78" s="440"/>
      <c r="Z78" s="441"/>
      <c r="AA78" s="440"/>
      <c r="AB78" s="441"/>
      <c r="AC78" s="440"/>
      <c r="AD78" s="441"/>
      <c r="AE78" s="440"/>
      <c r="AF78" s="441"/>
      <c r="AG78" s="422"/>
    </row>
    <row r="79" spans="7:34" s="421" customFormat="1" x14ac:dyDescent="0.2">
      <c r="G79" s="426">
        <f>COUNTA(rD1.BrickProducts04)</f>
        <v>20</v>
      </c>
      <c r="K79" s="421" t="s">
        <v>403</v>
      </c>
      <c r="L79" s="442"/>
      <c r="M79" s="431"/>
      <c r="N79" s="432"/>
      <c r="O79" s="443"/>
      <c r="P79" s="443"/>
      <c r="Q79" s="434"/>
      <c r="R79" s="443"/>
      <c r="S79" s="460"/>
      <c r="T79" s="434"/>
      <c r="U79" s="434"/>
      <c r="V79" s="434"/>
      <c r="W79" s="434"/>
      <c r="X79" s="434"/>
      <c r="Y79" s="434"/>
      <c r="Z79" s="444"/>
      <c r="AA79" s="434"/>
      <c r="AB79" s="444"/>
      <c r="AC79" s="434"/>
      <c r="AD79" s="444"/>
      <c r="AE79" s="434"/>
      <c r="AF79" s="444"/>
      <c r="AG79" s="445"/>
    </row>
    <row r="80" spans="7:34" s="421" customFormat="1" x14ac:dyDescent="0.2">
      <c r="K80" s="446" t="s">
        <v>436</v>
      </c>
      <c r="L80" s="447">
        <v>1085</v>
      </c>
      <c r="M80" s="448">
        <v>45762</v>
      </c>
      <c r="N80" s="449">
        <v>36.5</v>
      </c>
      <c r="O80" s="450">
        <v>248</v>
      </c>
      <c r="P80" s="450">
        <v>249</v>
      </c>
      <c r="Q80" s="451">
        <v>0.6</v>
      </c>
      <c r="R80" s="450">
        <v>6</v>
      </c>
      <c r="S80" s="462">
        <v>2.2999999999999998</v>
      </c>
      <c r="T80" s="451">
        <v>0.22</v>
      </c>
      <c r="U80" s="451"/>
      <c r="V80" s="451">
        <v>255.49999999999997</v>
      </c>
      <c r="W80" s="451">
        <v>50</v>
      </c>
      <c r="X80" s="451">
        <v>305.5</v>
      </c>
      <c r="Y80" s="451">
        <v>0.44</v>
      </c>
      <c r="Z80" s="452"/>
      <c r="AA80" s="451">
        <v>0.44</v>
      </c>
      <c r="AB80" s="452"/>
      <c r="AC80" s="451">
        <v>0.44</v>
      </c>
      <c r="AD80" s="452"/>
      <c r="AE80" s="451">
        <v>0.44</v>
      </c>
      <c r="AF80" s="452"/>
      <c r="AG80" s="423">
        <v>35</v>
      </c>
    </row>
    <row r="81" spans="11:33" s="421" customFormat="1" x14ac:dyDescent="0.2">
      <c r="K81" s="416" t="s">
        <v>437</v>
      </c>
      <c r="L81" s="417">
        <v>1085</v>
      </c>
      <c r="M81" s="430">
        <v>45762</v>
      </c>
      <c r="N81" s="418">
        <v>42.5</v>
      </c>
      <c r="O81" s="419">
        <v>248</v>
      </c>
      <c r="P81" s="419">
        <v>249</v>
      </c>
      <c r="Q81" s="414">
        <v>0.6</v>
      </c>
      <c r="R81" s="419">
        <v>6</v>
      </c>
      <c r="S81" s="459">
        <v>2.2999999999999998</v>
      </c>
      <c r="T81" s="414">
        <v>0.22</v>
      </c>
      <c r="U81" s="414"/>
      <c r="V81" s="414">
        <v>297.5</v>
      </c>
      <c r="W81" s="414">
        <v>50</v>
      </c>
      <c r="X81" s="414">
        <v>347.5</v>
      </c>
      <c r="Y81" s="414">
        <v>0.44</v>
      </c>
      <c r="Z81" s="420"/>
      <c r="AA81" s="414">
        <v>0.44</v>
      </c>
      <c r="AB81" s="420"/>
      <c r="AC81" s="414">
        <v>0.44</v>
      </c>
      <c r="AD81" s="420"/>
      <c r="AE81" s="414">
        <v>0.44</v>
      </c>
      <c r="AF81" s="420"/>
      <c r="AG81" s="415">
        <v>35</v>
      </c>
    </row>
    <row r="82" spans="11:33" s="421" customFormat="1" x14ac:dyDescent="0.2">
      <c r="K82" s="416" t="s">
        <v>438</v>
      </c>
      <c r="L82" s="417">
        <v>1085</v>
      </c>
      <c r="M82" s="430">
        <v>45762</v>
      </c>
      <c r="N82" s="418">
        <v>50</v>
      </c>
      <c r="O82" s="419">
        <v>248</v>
      </c>
      <c r="P82" s="419">
        <v>249</v>
      </c>
      <c r="Q82" s="414">
        <v>0.6</v>
      </c>
      <c r="R82" s="419">
        <v>6</v>
      </c>
      <c r="S82" s="459">
        <v>2.2999999999999998</v>
      </c>
      <c r="T82" s="414">
        <v>0.22</v>
      </c>
      <c r="U82" s="414"/>
      <c r="V82" s="414">
        <v>350</v>
      </c>
      <c r="W82" s="414">
        <v>50</v>
      </c>
      <c r="X82" s="414">
        <v>400</v>
      </c>
      <c r="Y82" s="414">
        <v>0.44</v>
      </c>
      <c r="Z82" s="420"/>
      <c r="AA82" s="414">
        <v>0.44</v>
      </c>
      <c r="AB82" s="420"/>
      <c r="AC82" s="414">
        <v>0.44</v>
      </c>
      <c r="AD82" s="420"/>
      <c r="AE82" s="414">
        <v>0.44</v>
      </c>
      <c r="AF82" s="420"/>
      <c r="AG82" s="415">
        <v>35</v>
      </c>
    </row>
    <row r="83" spans="11:33" s="421" customFormat="1" x14ac:dyDescent="0.2">
      <c r="K83" s="416" t="s">
        <v>439</v>
      </c>
      <c r="L83" s="417">
        <v>890</v>
      </c>
      <c r="M83" s="430">
        <v>46260</v>
      </c>
      <c r="N83" s="418">
        <v>30</v>
      </c>
      <c r="O83" s="419">
        <v>248</v>
      </c>
      <c r="P83" s="419">
        <v>249</v>
      </c>
      <c r="Q83" s="414">
        <v>0.65</v>
      </c>
      <c r="R83" s="419">
        <v>6</v>
      </c>
      <c r="S83" s="459">
        <v>2.2999999999999998</v>
      </c>
      <c r="T83" s="414">
        <v>0.22</v>
      </c>
      <c r="U83" s="414"/>
      <c r="V83" s="414">
        <v>225</v>
      </c>
      <c r="W83" s="414">
        <v>50</v>
      </c>
      <c r="X83" s="414">
        <v>275</v>
      </c>
      <c r="Y83" s="414"/>
      <c r="Z83" s="420"/>
      <c r="AA83" s="414"/>
      <c r="AB83" s="420"/>
      <c r="AC83" s="414"/>
      <c r="AD83" s="420"/>
      <c r="AE83" s="414"/>
      <c r="AF83" s="420"/>
      <c r="AG83" s="415">
        <v>35</v>
      </c>
    </row>
    <row r="84" spans="11:33" s="421" customFormat="1" x14ac:dyDescent="0.2">
      <c r="K84" s="416" t="s">
        <v>440</v>
      </c>
      <c r="L84" s="417">
        <v>890</v>
      </c>
      <c r="M84" s="430">
        <v>46260</v>
      </c>
      <c r="N84" s="418">
        <v>36.5</v>
      </c>
      <c r="O84" s="419">
        <v>248</v>
      </c>
      <c r="P84" s="419">
        <v>249</v>
      </c>
      <c r="Q84" s="414">
        <v>0.65</v>
      </c>
      <c r="R84" s="419">
        <v>6</v>
      </c>
      <c r="S84" s="459">
        <v>2.2999999999999998</v>
      </c>
      <c r="T84" s="414">
        <v>0.22</v>
      </c>
      <c r="U84" s="414"/>
      <c r="V84" s="414">
        <v>273.75</v>
      </c>
      <c r="W84" s="414">
        <v>50</v>
      </c>
      <c r="X84" s="414">
        <v>323.75</v>
      </c>
      <c r="Y84" s="414">
        <v>0.43</v>
      </c>
      <c r="Z84" s="420"/>
      <c r="AA84" s="414">
        <v>0.43</v>
      </c>
      <c r="AB84" s="420"/>
      <c r="AC84" s="414">
        <v>0.43</v>
      </c>
      <c r="AD84" s="420"/>
      <c r="AE84" s="414">
        <v>0.43</v>
      </c>
      <c r="AF84" s="420"/>
      <c r="AG84" s="415">
        <v>35</v>
      </c>
    </row>
    <row r="85" spans="11:33" s="421" customFormat="1" x14ac:dyDescent="0.2">
      <c r="K85" s="416" t="s">
        <v>440</v>
      </c>
      <c r="L85" s="417">
        <v>890</v>
      </c>
      <c r="M85" s="430">
        <v>46260</v>
      </c>
      <c r="N85" s="418">
        <v>36.5</v>
      </c>
      <c r="O85" s="419">
        <v>248</v>
      </c>
      <c r="P85" s="419">
        <v>249</v>
      </c>
      <c r="Q85" s="414">
        <v>0.65</v>
      </c>
      <c r="R85" s="419">
        <v>8</v>
      </c>
      <c r="S85" s="459">
        <v>2.8</v>
      </c>
      <c r="T85" s="414">
        <v>0.22</v>
      </c>
      <c r="U85" s="414"/>
      <c r="V85" s="414">
        <v>273.75</v>
      </c>
      <c r="W85" s="414">
        <v>50</v>
      </c>
      <c r="X85" s="414">
        <v>323.75</v>
      </c>
      <c r="Y85" s="414">
        <v>0.43</v>
      </c>
      <c r="Z85" s="420"/>
      <c r="AA85" s="414">
        <v>0.43</v>
      </c>
      <c r="AB85" s="420"/>
      <c r="AC85" s="414">
        <v>0.43</v>
      </c>
      <c r="AD85" s="420"/>
      <c r="AE85" s="414">
        <v>0.43</v>
      </c>
      <c r="AF85" s="420"/>
      <c r="AG85" s="415">
        <v>35</v>
      </c>
    </row>
    <row r="86" spans="11:33" s="421" customFormat="1" x14ac:dyDescent="0.2">
      <c r="K86" s="416" t="s">
        <v>441</v>
      </c>
      <c r="L86" s="417">
        <v>890</v>
      </c>
      <c r="M86" s="430">
        <v>46260</v>
      </c>
      <c r="N86" s="418">
        <v>42.5</v>
      </c>
      <c r="O86" s="419">
        <v>248</v>
      </c>
      <c r="P86" s="419">
        <v>249</v>
      </c>
      <c r="Q86" s="414">
        <v>0.65</v>
      </c>
      <c r="R86" s="419">
        <v>6</v>
      </c>
      <c r="S86" s="459">
        <v>2.2999999999999998</v>
      </c>
      <c r="T86" s="414">
        <v>0.22</v>
      </c>
      <c r="U86" s="414"/>
      <c r="V86" s="414">
        <v>318.75</v>
      </c>
      <c r="W86" s="414">
        <v>50</v>
      </c>
      <c r="X86" s="414">
        <v>368.75</v>
      </c>
      <c r="Y86" s="414">
        <v>0.43</v>
      </c>
      <c r="Z86" s="420"/>
      <c r="AA86" s="414">
        <v>0.43</v>
      </c>
      <c r="AB86" s="420"/>
      <c r="AC86" s="414">
        <v>0.43</v>
      </c>
      <c r="AD86" s="420"/>
      <c r="AE86" s="414">
        <v>0.43</v>
      </c>
      <c r="AF86" s="420"/>
      <c r="AG86" s="415">
        <v>35</v>
      </c>
    </row>
    <row r="87" spans="11:33" s="421" customFormat="1" x14ac:dyDescent="0.2">
      <c r="K87" s="416" t="s">
        <v>441</v>
      </c>
      <c r="L87" s="417">
        <v>890</v>
      </c>
      <c r="M87" s="430">
        <v>46260</v>
      </c>
      <c r="N87" s="418">
        <v>42.5</v>
      </c>
      <c r="O87" s="419">
        <v>248</v>
      </c>
      <c r="P87" s="419">
        <v>249</v>
      </c>
      <c r="Q87" s="414">
        <v>0.65</v>
      </c>
      <c r="R87" s="419">
        <v>8</v>
      </c>
      <c r="S87" s="459">
        <v>2.8</v>
      </c>
      <c r="T87" s="414">
        <v>0.22</v>
      </c>
      <c r="U87" s="414"/>
      <c r="V87" s="414">
        <v>318.75</v>
      </c>
      <c r="W87" s="414">
        <v>50</v>
      </c>
      <c r="X87" s="414">
        <v>368.75</v>
      </c>
      <c r="Y87" s="414">
        <v>0.43</v>
      </c>
      <c r="Z87" s="420"/>
      <c r="AA87" s="414">
        <v>0.43</v>
      </c>
      <c r="AB87" s="420"/>
      <c r="AC87" s="414">
        <v>0.43</v>
      </c>
      <c r="AD87" s="420"/>
      <c r="AE87" s="414">
        <v>0.43</v>
      </c>
      <c r="AF87" s="420"/>
      <c r="AG87" s="415">
        <v>35</v>
      </c>
    </row>
    <row r="88" spans="11:33" s="421" customFormat="1" x14ac:dyDescent="0.2">
      <c r="K88" s="416" t="s">
        <v>653</v>
      </c>
      <c r="L88" s="417" t="s">
        <v>634</v>
      </c>
      <c r="M88" s="430">
        <v>46617</v>
      </c>
      <c r="N88" s="418">
        <v>36.5</v>
      </c>
      <c r="O88" s="419">
        <v>248</v>
      </c>
      <c r="P88" s="419">
        <v>249</v>
      </c>
      <c r="Q88" s="414">
        <v>0.65</v>
      </c>
      <c r="R88" s="419">
        <v>6</v>
      </c>
      <c r="S88" s="459">
        <f>1.3*1.5/1.8</f>
        <v>1.0833333333333335</v>
      </c>
      <c r="T88" s="414">
        <v>0.22</v>
      </c>
      <c r="U88" s="414"/>
      <c r="V88" s="414">
        <v>273.75</v>
      </c>
      <c r="W88" s="414">
        <v>50</v>
      </c>
      <c r="X88" s="414">
        <v>323.75</v>
      </c>
      <c r="Y88" s="414">
        <v>0.7</v>
      </c>
      <c r="Z88" s="420"/>
      <c r="AA88" s="414">
        <v>0.7</v>
      </c>
      <c r="AB88" s="420"/>
      <c r="AC88" s="414">
        <v>0.7</v>
      </c>
      <c r="AD88" s="420"/>
      <c r="AE88" s="414"/>
      <c r="AF88" s="420"/>
      <c r="AG88" s="415">
        <v>35</v>
      </c>
    </row>
    <row r="89" spans="11:33" s="421" customFormat="1" x14ac:dyDescent="0.2">
      <c r="K89" s="416" t="s">
        <v>653</v>
      </c>
      <c r="L89" s="417" t="s">
        <v>634</v>
      </c>
      <c r="M89" s="430">
        <v>46617</v>
      </c>
      <c r="N89" s="418">
        <v>36.5</v>
      </c>
      <c r="O89" s="419">
        <v>248</v>
      </c>
      <c r="P89" s="419">
        <v>249</v>
      </c>
      <c r="Q89" s="414">
        <v>0.65</v>
      </c>
      <c r="R89" s="419">
        <v>8</v>
      </c>
      <c r="S89" s="459">
        <f>1.6*1.5/1.8</f>
        <v>1.3333333333333335</v>
      </c>
      <c r="T89" s="414">
        <v>0.22</v>
      </c>
      <c r="U89" s="414"/>
      <c r="V89" s="414">
        <v>273.75</v>
      </c>
      <c r="W89" s="414">
        <v>50</v>
      </c>
      <c r="X89" s="414">
        <v>323.75</v>
      </c>
      <c r="Y89" s="414">
        <v>0.7</v>
      </c>
      <c r="Z89" s="420"/>
      <c r="AA89" s="414">
        <v>0.7</v>
      </c>
      <c r="AB89" s="420"/>
      <c r="AC89" s="414">
        <v>0.7</v>
      </c>
      <c r="AD89" s="420"/>
      <c r="AE89" s="414"/>
      <c r="AF89" s="420"/>
      <c r="AG89" s="415">
        <v>35</v>
      </c>
    </row>
    <row r="90" spans="11:33" s="421" customFormat="1" x14ac:dyDescent="0.2">
      <c r="K90" s="416" t="s">
        <v>442</v>
      </c>
      <c r="L90" s="417">
        <v>889</v>
      </c>
      <c r="M90" s="430">
        <v>46793</v>
      </c>
      <c r="N90" s="418">
        <v>30</v>
      </c>
      <c r="O90" s="419">
        <v>248</v>
      </c>
      <c r="P90" s="419">
        <v>249</v>
      </c>
      <c r="Q90" s="414">
        <v>0.65</v>
      </c>
      <c r="R90" s="419">
        <v>6</v>
      </c>
      <c r="S90" s="459">
        <v>1.8</v>
      </c>
      <c r="T90" s="414">
        <v>0.22</v>
      </c>
      <c r="U90" s="414"/>
      <c r="V90" s="414">
        <v>225</v>
      </c>
      <c r="W90" s="414">
        <v>50</v>
      </c>
      <c r="X90" s="414">
        <v>275</v>
      </c>
      <c r="Y90" s="414">
        <v>0.48</v>
      </c>
      <c r="Z90" s="414"/>
      <c r="AA90" s="414">
        <v>0.48</v>
      </c>
      <c r="AB90" s="414"/>
      <c r="AC90" s="414">
        <v>0.48</v>
      </c>
      <c r="AD90" s="414"/>
      <c r="AE90" s="414">
        <v>0.48</v>
      </c>
      <c r="AF90" s="420"/>
      <c r="AG90" s="415">
        <v>35</v>
      </c>
    </row>
    <row r="91" spans="11:33" s="421" customFormat="1" x14ac:dyDescent="0.2">
      <c r="K91" s="416" t="s">
        <v>442</v>
      </c>
      <c r="L91" s="417">
        <v>889</v>
      </c>
      <c r="M91" s="430">
        <v>46793</v>
      </c>
      <c r="N91" s="418">
        <v>30</v>
      </c>
      <c r="O91" s="419">
        <v>248</v>
      </c>
      <c r="P91" s="419">
        <v>249</v>
      </c>
      <c r="Q91" s="414">
        <v>0.65</v>
      </c>
      <c r="R91" s="419">
        <v>8</v>
      </c>
      <c r="S91" s="459">
        <v>2.2999999999999998</v>
      </c>
      <c r="T91" s="414">
        <v>0.22</v>
      </c>
      <c r="U91" s="414"/>
      <c r="V91" s="414">
        <v>225</v>
      </c>
      <c r="W91" s="414">
        <v>50</v>
      </c>
      <c r="X91" s="414">
        <v>275</v>
      </c>
      <c r="Y91" s="414">
        <v>0.48</v>
      </c>
      <c r="Z91" s="414"/>
      <c r="AA91" s="414">
        <v>0.48</v>
      </c>
      <c r="AB91" s="414"/>
      <c r="AC91" s="414">
        <v>0.48</v>
      </c>
      <c r="AD91" s="414"/>
      <c r="AE91" s="414">
        <v>0.48</v>
      </c>
      <c r="AF91" s="420"/>
      <c r="AG91" s="415">
        <v>35</v>
      </c>
    </row>
    <row r="92" spans="11:33" s="421" customFormat="1" x14ac:dyDescent="0.2">
      <c r="K92" s="416" t="s">
        <v>443</v>
      </c>
      <c r="L92" s="417">
        <v>889</v>
      </c>
      <c r="M92" s="430">
        <v>46793</v>
      </c>
      <c r="N92" s="418">
        <v>36.5</v>
      </c>
      <c r="O92" s="419">
        <v>248</v>
      </c>
      <c r="P92" s="419">
        <v>249</v>
      </c>
      <c r="Q92" s="414">
        <v>0.65</v>
      </c>
      <c r="R92" s="419">
        <v>8</v>
      </c>
      <c r="S92" s="459">
        <v>2.2999999999999998</v>
      </c>
      <c r="T92" s="414">
        <v>0.22</v>
      </c>
      <c r="U92" s="414"/>
      <c r="V92" s="414">
        <v>273.75</v>
      </c>
      <c r="W92" s="414">
        <v>50</v>
      </c>
      <c r="X92" s="414">
        <v>323.75</v>
      </c>
      <c r="Y92" s="414">
        <v>0.48</v>
      </c>
      <c r="Z92" s="414"/>
      <c r="AA92" s="414">
        <v>0.48</v>
      </c>
      <c r="AB92" s="414"/>
      <c r="AC92" s="414">
        <v>0.48</v>
      </c>
      <c r="AD92" s="414"/>
      <c r="AE92" s="414">
        <v>0.48</v>
      </c>
      <c r="AF92" s="420"/>
      <c r="AG92" s="415">
        <v>35</v>
      </c>
    </row>
    <row r="93" spans="11:33" s="421" customFormat="1" x14ac:dyDescent="0.2">
      <c r="K93" s="416" t="s">
        <v>654</v>
      </c>
      <c r="L93" s="417" t="s">
        <v>635</v>
      </c>
      <c r="M93" s="430">
        <v>45762</v>
      </c>
      <c r="N93" s="418">
        <v>36.5</v>
      </c>
      <c r="O93" s="419">
        <v>248</v>
      </c>
      <c r="P93" s="419">
        <v>249</v>
      </c>
      <c r="Q93" s="414">
        <v>0.65</v>
      </c>
      <c r="R93" s="419">
        <v>8</v>
      </c>
      <c r="S93" s="459">
        <f>1.3*1.5/1.8</f>
        <v>1.0833333333333335</v>
      </c>
      <c r="T93" s="414">
        <v>0.09</v>
      </c>
      <c r="U93" s="414"/>
      <c r="V93" s="414">
        <v>273.75</v>
      </c>
      <c r="W93" s="414">
        <v>50</v>
      </c>
      <c r="X93" s="414">
        <v>323.75</v>
      </c>
      <c r="Y93" s="414">
        <v>0.7</v>
      </c>
      <c r="Z93" s="414"/>
      <c r="AA93" s="414">
        <v>0.7</v>
      </c>
      <c r="AB93" s="414"/>
      <c r="AC93" s="414">
        <v>0.7</v>
      </c>
      <c r="AD93" s="414"/>
      <c r="AE93" s="414"/>
      <c r="AF93" s="420"/>
      <c r="AG93" s="415">
        <v>35</v>
      </c>
    </row>
    <row r="94" spans="11:33" s="421" customFormat="1" x14ac:dyDescent="0.2">
      <c r="K94" s="416" t="s">
        <v>445</v>
      </c>
      <c r="L94" s="417">
        <v>877</v>
      </c>
      <c r="M94" s="430">
        <v>45762</v>
      </c>
      <c r="N94" s="418">
        <v>36.5</v>
      </c>
      <c r="O94" s="419">
        <v>248</v>
      </c>
      <c r="P94" s="419">
        <v>249</v>
      </c>
      <c r="Q94" s="414">
        <v>0.65</v>
      </c>
      <c r="R94" s="419">
        <v>8</v>
      </c>
      <c r="S94" s="459">
        <v>2.1</v>
      </c>
      <c r="T94" s="414">
        <v>0.22</v>
      </c>
      <c r="U94" s="414"/>
      <c r="V94" s="414">
        <v>273.75</v>
      </c>
      <c r="W94" s="414">
        <v>50</v>
      </c>
      <c r="X94" s="414">
        <v>323.75</v>
      </c>
      <c r="Y94" s="414">
        <v>0.48</v>
      </c>
      <c r="Z94" s="420"/>
      <c r="AA94" s="414">
        <v>0.48</v>
      </c>
      <c r="AB94" s="420"/>
      <c r="AC94" s="414">
        <v>0.48</v>
      </c>
      <c r="AD94" s="420"/>
      <c r="AE94" s="414">
        <v>0.48</v>
      </c>
      <c r="AF94" s="420"/>
      <c r="AG94" s="415">
        <v>35</v>
      </c>
    </row>
    <row r="95" spans="11:33" s="421" customFormat="1" x14ac:dyDescent="0.2">
      <c r="K95" s="416" t="s">
        <v>445</v>
      </c>
      <c r="L95" s="417">
        <v>877</v>
      </c>
      <c r="M95" s="430">
        <v>45762</v>
      </c>
      <c r="N95" s="418">
        <v>36.5</v>
      </c>
      <c r="O95" s="419">
        <v>248</v>
      </c>
      <c r="P95" s="419">
        <v>249</v>
      </c>
      <c r="Q95" s="414">
        <v>0.65</v>
      </c>
      <c r="R95" s="419">
        <v>10</v>
      </c>
      <c r="S95" s="459">
        <v>2.6</v>
      </c>
      <c r="T95" s="414">
        <v>0.22</v>
      </c>
      <c r="U95" s="414"/>
      <c r="V95" s="414">
        <v>273.75</v>
      </c>
      <c r="W95" s="414">
        <v>50</v>
      </c>
      <c r="X95" s="414">
        <v>323.75</v>
      </c>
      <c r="Y95" s="414">
        <v>0.48</v>
      </c>
      <c r="Z95" s="420"/>
      <c r="AA95" s="414">
        <v>0.48</v>
      </c>
      <c r="AB95" s="420"/>
      <c r="AC95" s="414">
        <v>0.48</v>
      </c>
      <c r="AD95" s="420"/>
      <c r="AE95" s="414">
        <v>0.48</v>
      </c>
      <c r="AF95" s="420"/>
      <c r="AG95" s="415">
        <v>35</v>
      </c>
    </row>
    <row r="96" spans="11:33" s="421" customFormat="1" x14ac:dyDescent="0.2">
      <c r="K96" s="416" t="s">
        <v>447</v>
      </c>
      <c r="L96" s="417">
        <v>651</v>
      </c>
      <c r="M96" s="430">
        <v>45762</v>
      </c>
      <c r="N96" s="418">
        <v>30</v>
      </c>
      <c r="O96" s="419">
        <v>248</v>
      </c>
      <c r="P96" s="419">
        <v>249</v>
      </c>
      <c r="Q96" s="414">
        <v>0.7</v>
      </c>
      <c r="R96" s="419">
        <v>8</v>
      </c>
      <c r="S96" s="459">
        <v>3.1</v>
      </c>
      <c r="T96" s="414">
        <v>0.22</v>
      </c>
      <c r="U96" s="414"/>
      <c r="V96" s="414">
        <v>240</v>
      </c>
      <c r="W96" s="414">
        <v>50</v>
      </c>
      <c r="X96" s="414">
        <v>290</v>
      </c>
      <c r="Z96" s="420">
        <v>3.7900000000000003E-2</v>
      </c>
      <c r="AA96" s="414">
        <v>0.62</v>
      </c>
      <c r="AB96" s="420">
        <v>3.7900000000000003E-2</v>
      </c>
      <c r="AC96" s="414">
        <v>0.62</v>
      </c>
      <c r="AD96" s="420">
        <v>3.7900000000000003E-2</v>
      </c>
      <c r="AE96" s="414">
        <v>0.16</v>
      </c>
      <c r="AF96" s="420"/>
      <c r="AG96" s="415">
        <v>35</v>
      </c>
    </row>
    <row r="97" spans="7:33" s="421" customFormat="1" x14ac:dyDescent="0.2">
      <c r="K97" s="416" t="s">
        <v>447</v>
      </c>
      <c r="L97" s="417">
        <v>651</v>
      </c>
      <c r="M97" s="430">
        <v>45762</v>
      </c>
      <c r="N97" s="418">
        <v>30</v>
      </c>
      <c r="O97" s="419">
        <v>248</v>
      </c>
      <c r="P97" s="419">
        <v>249</v>
      </c>
      <c r="Q97" s="414">
        <v>0.7</v>
      </c>
      <c r="R97" s="419">
        <v>12</v>
      </c>
      <c r="S97" s="459">
        <v>3.9</v>
      </c>
      <c r="T97" s="414">
        <v>0.22</v>
      </c>
      <c r="U97" s="414"/>
      <c r="V97" s="414">
        <v>240</v>
      </c>
      <c r="W97" s="414">
        <v>50</v>
      </c>
      <c r="X97" s="414">
        <v>290</v>
      </c>
      <c r="Y97" s="414"/>
      <c r="Z97" s="420">
        <v>3.7900000000000003E-2</v>
      </c>
      <c r="AA97" s="414">
        <v>0.62</v>
      </c>
      <c r="AB97" s="420">
        <v>3.7900000000000003E-2</v>
      </c>
      <c r="AC97" s="414">
        <v>0.62</v>
      </c>
      <c r="AD97" s="420">
        <v>3.7900000000000003E-2</v>
      </c>
      <c r="AE97" s="414">
        <v>0.2</v>
      </c>
      <c r="AF97" s="420"/>
      <c r="AG97" s="415">
        <v>35</v>
      </c>
    </row>
    <row r="98" spans="7:33" s="421" customFormat="1" x14ac:dyDescent="0.2">
      <c r="K98" s="416" t="s">
        <v>448</v>
      </c>
      <c r="L98" s="417">
        <v>651</v>
      </c>
      <c r="M98" s="430">
        <v>45762</v>
      </c>
      <c r="N98" s="418">
        <v>36.5</v>
      </c>
      <c r="O98" s="419">
        <v>248</v>
      </c>
      <c r="P98" s="419">
        <v>249</v>
      </c>
      <c r="Q98" s="414">
        <v>0.7</v>
      </c>
      <c r="R98" s="419">
        <v>8</v>
      </c>
      <c r="S98" s="459">
        <v>3.1</v>
      </c>
      <c r="T98" s="414">
        <v>0.22</v>
      </c>
      <c r="U98" s="414"/>
      <c r="V98" s="414">
        <v>292</v>
      </c>
      <c r="W98" s="414">
        <v>50</v>
      </c>
      <c r="X98" s="414">
        <v>342</v>
      </c>
      <c r="Y98" s="414"/>
      <c r="Z98" s="420">
        <v>3.7900000000000003E-2</v>
      </c>
      <c r="AA98" s="414">
        <v>0.62</v>
      </c>
      <c r="AB98" s="420">
        <v>3.7900000000000003E-2</v>
      </c>
      <c r="AC98" s="414">
        <v>0.62</v>
      </c>
      <c r="AD98" s="420">
        <v>3.7900000000000003E-2</v>
      </c>
      <c r="AE98" s="414">
        <v>0.16</v>
      </c>
      <c r="AF98" s="420"/>
      <c r="AG98" s="415">
        <v>35</v>
      </c>
    </row>
    <row r="99" spans="7:33" s="421" customFormat="1" x14ac:dyDescent="0.2">
      <c r="K99" s="416" t="s">
        <v>448</v>
      </c>
      <c r="L99" s="417">
        <v>651</v>
      </c>
      <c r="M99" s="430">
        <v>45762</v>
      </c>
      <c r="N99" s="418">
        <v>36.5</v>
      </c>
      <c r="O99" s="419">
        <v>248</v>
      </c>
      <c r="P99" s="419">
        <v>249</v>
      </c>
      <c r="Q99" s="414">
        <v>0.7</v>
      </c>
      <c r="R99" s="419">
        <v>12</v>
      </c>
      <c r="S99" s="459">
        <v>3.9</v>
      </c>
      <c r="T99" s="414">
        <v>0.22</v>
      </c>
      <c r="U99" s="414"/>
      <c r="V99" s="414">
        <v>292</v>
      </c>
      <c r="W99" s="414">
        <v>50</v>
      </c>
      <c r="X99" s="414">
        <v>342</v>
      </c>
      <c r="Y99" s="414"/>
      <c r="Z99" s="420">
        <v>3.7900000000000003E-2</v>
      </c>
      <c r="AA99" s="414">
        <v>0.62</v>
      </c>
      <c r="AB99" s="420">
        <v>3.7900000000000003E-2</v>
      </c>
      <c r="AC99" s="414">
        <v>0.62</v>
      </c>
      <c r="AD99" s="420">
        <v>3.7900000000000003E-2</v>
      </c>
      <c r="AE99" s="414">
        <v>0.2</v>
      </c>
      <c r="AF99" s="420"/>
      <c r="AG99" s="415">
        <v>35</v>
      </c>
    </row>
    <row r="100" spans="7:33" s="421" customFormat="1" x14ac:dyDescent="0.2">
      <c r="K100" s="416"/>
      <c r="L100" s="417"/>
      <c r="M100" s="430"/>
      <c r="N100" s="418"/>
      <c r="O100" s="419"/>
      <c r="P100" s="419"/>
      <c r="Q100" s="414"/>
      <c r="R100" s="419"/>
      <c r="S100" s="459"/>
      <c r="T100" s="414"/>
      <c r="U100" s="414"/>
      <c r="V100" s="414"/>
      <c r="W100" s="414"/>
      <c r="X100" s="414"/>
      <c r="Y100" s="414"/>
      <c r="Z100" s="420"/>
      <c r="AA100" s="414"/>
      <c r="AB100" s="420"/>
      <c r="AC100" s="414"/>
      <c r="AD100" s="420"/>
      <c r="AE100" s="414"/>
      <c r="AF100" s="420"/>
      <c r="AG100" s="415"/>
    </row>
    <row r="101" spans="7:33" s="421" customFormat="1" x14ac:dyDescent="0.2">
      <c r="K101" s="416"/>
      <c r="L101" s="417"/>
      <c r="M101" s="430"/>
      <c r="N101" s="418"/>
      <c r="O101" s="419"/>
      <c r="P101" s="419"/>
      <c r="Q101" s="414"/>
      <c r="R101" s="419"/>
      <c r="S101" s="459"/>
      <c r="T101" s="414"/>
      <c r="U101" s="414"/>
      <c r="V101" s="414"/>
      <c r="W101" s="414"/>
      <c r="X101" s="414"/>
      <c r="Y101" s="414"/>
      <c r="Z101" s="420"/>
      <c r="AA101" s="414"/>
      <c r="AB101" s="420"/>
      <c r="AC101" s="414"/>
      <c r="AD101" s="420"/>
      <c r="AE101" s="414"/>
      <c r="AF101" s="420"/>
      <c r="AG101" s="415"/>
    </row>
    <row r="102" spans="7:33" s="421" customFormat="1" x14ac:dyDescent="0.2">
      <c r="K102" s="435"/>
      <c r="L102" s="436"/>
      <c r="M102" s="437"/>
      <c r="N102" s="438"/>
      <c r="O102" s="439"/>
      <c r="P102" s="439"/>
      <c r="Q102" s="440"/>
      <c r="R102" s="439"/>
      <c r="S102" s="461"/>
      <c r="T102" s="440"/>
      <c r="U102" s="440"/>
      <c r="V102" s="440"/>
      <c r="W102" s="440"/>
      <c r="X102" s="440"/>
      <c r="Y102" s="440"/>
      <c r="Z102" s="441"/>
      <c r="AA102" s="440"/>
      <c r="AB102" s="441"/>
      <c r="AC102" s="440"/>
      <c r="AD102" s="441"/>
      <c r="AE102" s="440"/>
      <c r="AF102" s="441"/>
      <c r="AG102" s="422"/>
    </row>
    <row r="103" spans="7:33" s="421" customFormat="1" x14ac:dyDescent="0.2">
      <c r="G103" s="426">
        <f>COUNTA(rD1.BrickProducts05)</f>
        <v>7</v>
      </c>
      <c r="K103" s="421" t="s">
        <v>399</v>
      </c>
      <c r="L103" s="442"/>
      <c r="M103" s="431"/>
      <c r="N103" s="432"/>
      <c r="O103" s="443"/>
      <c r="P103" s="443"/>
      <c r="Q103" s="434"/>
      <c r="R103" s="443"/>
      <c r="S103" s="460"/>
      <c r="T103" s="434"/>
      <c r="U103" s="434"/>
      <c r="V103" s="434"/>
      <c r="W103" s="434"/>
      <c r="X103" s="434"/>
      <c r="Y103" s="434"/>
      <c r="Z103" s="444"/>
      <c r="AA103" s="434"/>
      <c r="AB103" s="444"/>
      <c r="AC103" s="434"/>
      <c r="AD103" s="444"/>
      <c r="AE103" s="434"/>
      <c r="AF103" s="444"/>
      <c r="AG103" s="474"/>
    </row>
    <row r="104" spans="7:33" s="421" customFormat="1" x14ac:dyDescent="0.2">
      <c r="G104" s="429"/>
      <c r="K104" s="476" t="s">
        <v>661</v>
      </c>
      <c r="L104" s="463">
        <v>1260</v>
      </c>
      <c r="M104" s="448">
        <v>46642</v>
      </c>
      <c r="N104" s="449">
        <v>36.5</v>
      </c>
      <c r="O104" s="450">
        <v>248</v>
      </c>
      <c r="P104" s="450">
        <v>249</v>
      </c>
      <c r="Q104" s="451">
        <v>0.65</v>
      </c>
      <c r="R104" s="450">
        <v>8</v>
      </c>
      <c r="S104" s="462">
        <v>2.2999999999999998</v>
      </c>
      <c r="T104" s="451">
        <v>0.22</v>
      </c>
      <c r="U104" s="451"/>
      <c r="V104" s="451">
        <v>273.75</v>
      </c>
      <c r="W104" s="451">
        <v>50</v>
      </c>
      <c r="X104" s="451">
        <f>V104+W104</f>
        <v>323.75</v>
      </c>
      <c r="Y104" s="451">
        <v>0.63</v>
      </c>
      <c r="Z104" s="452"/>
      <c r="AA104" s="451">
        <v>0.63</v>
      </c>
      <c r="AB104" s="452"/>
      <c r="AC104" s="451">
        <v>0.63</v>
      </c>
      <c r="AD104" s="452"/>
      <c r="AE104" s="451">
        <v>0.63</v>
      </c>
      <c r="AF104" s="452"/>
      <c r="AG104" s="423">
        <v>35</v>
      </c>
    </row>
    <row r="105" spans="7:33" s="421" customFormat="1" x14ac:dyDescent="0.2">
      <c r="G105" s="429"/>
      <c r="K105" s="429" t="s">
        <v>662</v>
      </c>
      <c r="L105" s="464">
        <v>1260</v>
      </c>
      <c r="M105" s="430">
        <v>46642</v>
      </c>
      <c r="N105" s="418">
        <v>42.5</v>
      </c>
      <c r="O105" s="419">
        <v>248</v>
      </c>
      <c r="P105" s="419">
        <v>249</v>
      </c>
      <c r="Q105" s="414">
        <v>0.65</v>
      </c>
      <c r="R105" s="419">
        <v>8</v>
      </c>
      <c r="S105" s="459">
        <v>2.2999999999999998</v>
      </c>
      <c r="T105" s="414">
        <v>0.22</v>
      </c>
      <c r="U105" s="414"/>
      <c r="V105" s="414">
        <v>318.75</v>
      </c>
      <c r="W105" s="414">
        <v>50</v>
      </c>
      <c r="X105" s="414">
        <f>V105+W105</f>
        <v>368.75</v>
      </c>
      <c r="Y105" s="414">
        <v>0.63</v>
      </c>
      <c r="Z105" s="420"/>
      <c r="AA105" s="414">
        <v>0.63</v>
      </c>
      <c r="AB105" s="420"/>
      <c r="AC105" s="414">
        <v>0.63</v>
      </c>
      <c r="AD105" s="420"/>
      <c r="AE105" s="414">
        <v>0.63</v>
      </c>
      <c r="AF105" s="420"/>
      <c r="AG105" s="415">
        <v>35</v>
      </c>
    </row>
    <row r="106" spans="7:33" s="421" customFormat="1" x14ac:dyDescent="0.2">
      <c r="K106" s="424" t="s">
        <v>423</v>
      </c>
      <c r="L106" s="464">
        <v>1234</v>
      </c>
      <c r="M106" s="430">
        <v>46257</v>
      </c>
      <c r="N106" s="418">
        <v>36.5</v>
      </c>
      <c r="O106" s="419">
        <v>248</v>
      </c>
      <c r="P106" s="419">
        <v>249</v>
      </c>
      <c r="Q106" s="414">
        <v>0.75</v>
      </c>
      <c r="R106" s="419">
        <v>10</v>
      </c>
      <c r="S106" s="459">
        <v>5.8</v>
      </c>
      <c r="T106" s="414">
        <v>0.22</v>
      </c>
      <c r="U106" s="414"/>
      <c r="V106" s="414">
        <v>310.25</v>
      </c>
      <c r="W106" s="414">
        <v>50</v>
      </c>
      <c r="X106" s="414">
        <v>360.25</v>
      </c>
      <c r="Y106" s="414">
        <v>0.47</v>
      </c>
      <c r="Z106" s="420"/>
      <c r="AA106" s="414">
        <v>0.47</v>
      </c>
      <c r="AB106" s="420"/>
      <c r="AC106" s="414">
        <v>0.47</v>
      </c>
      <c r="AD106" s="420"/>
      <c r="AE106" s="414">
        <v>0.47</v>
      </c>
      <c r="AF106" s="420"/>
      <c r="AG106" s="415">
        <v>35</v>
      </c>
    </row>
    <row r="107" spans="7:33" s="421" customFormat="1" x14ac:dyDescent="0.2">
      <c r="K107" s="424" t="s">
        <v>424</v>
      </c>
      <c r="L107" s="464">
        <v>1234</v>
      </c>
      <c r="M107" s="430">
        <v>46257</v>
      </c>
      <c r="N107" s="418">
        <v>42.5</v>
      </c>
      <c r="O107" s="419">
        <v>248</v>
      </c>
      <c r="P107" s="419">
        <v>249</v>
      </c>
      <c r="Q107" s="414">
        <v>0.75</v>
      </c>
      <c r="R107" s="419">
        <v>10</v>
      </c>
      <c r="S107" s="459">
        <v>5.8</v>
      </c>
      <c r="T107" s="414">
        <v>0.22</v>
      </c>
      <c r="U107" s="414"/>
      <c r="V107" s="414">
        <v>361.25</v>
      </c>
      <c r="W107" s="414">
        <v>50</v>
      </c>
      <c r="X107" s="414">
        <v>411.25</v>
      </c>
      <c r="Y107" s="414">
        <v>0.47</v>
      </c>
      <c r="Z107" s="420"/>
      <c r="AA107" s="414">
        <v>0.47</v>
      </c>
      <c r="AB107" s="420"/>
      <c r="AC107" s="414">
        <v>0.47</v>
      </c>
      <c r="AD107" s="420"/>
      <c r="AE107" s="414">
        <v>0.47</v>
      </c>
      <c r="AF107" s="420"/>
      <c r="AG107" s="415">
        <v>35</v>
      </c>
    </row>
    <row r="108" spans="7:33" s="421" customFormat="1" ht="13.5" thickBot="1" x14ac:dyDescent="0.25">
      <c r="K108" s="424" t="s">
        <v>425</v>
      </c>
      <c r="L108" s="464">
        <v>1234</v>
      </c>
      <c r="M108" s="430">
        <v>46257</v>
      </c>
      <c r="N108" s="418">
        <v>49</v>
      </c>
      <c r="O108" s="419">
        <v>248</v>
      </c>
      <c r="P108" s="419">
        <v>249</v>
      </c>
      <c r="Q108" s="414">
        <v>0.75</v>
      </c>
      <c r="R108" s="419">
        <v>10</v>
      </c>
      <c r="S108" s="459">
        <v>5.8</v>
      </c>
      <c r="T108" s="414">
        <v>0.22</v>
      </c>
      <c r="U108" s="414"/>
      <c r="V108" s="414">
        <v>416.5</v>
      </c>
      <c r="W108" s="414">
        <v>50</v>
      </c>
      <c r="X108" s="414">
        <v>466.5</v>
      </c>
      <c r="Y108" s="414">
        <v>0.47</v>
      </c>
      <c r="Z108" s="420"/>
      <c r="AA108" s="414">
        <v>0.47</v>
      </c>
      <c r="AB108" s="420"/>
      <c r="AC108" s="414">
        <v>0.47</v>
      </c>
      <c r="AD108" s="420"/>
      <c r="AE108" s="414">
        <v>0.47</v>
      </c>
      <c r="AF108" s="420"/>
      <c r="AG108" s="415">
        <v>35</v>
      </c>
    </row>
    <row r="109" spans="7:33" s="421" customFormat="1" ht="13.5" thickBot="1" x14ac:dyDescent="0.25">
      <c r="K109" s="424" t="s">
        <v>429</v>
      </c>
      <c r="L109" s="417" t="s">
        <v>625</v>
      </c>
      <c r="M109" s="430">
        <v>45019</v>
      </c>
      <c r="N109" s="418">
        <v>36.5</v>
      </c>
      <c r="O109" s="419">
        <v>248</v>
      </c>
      <c r="P109" s="419">
        <v>249</v>
      </c>
      <c r="Q109" s="414">
        <v>0.75</v>
      </c>
      <c r="R109" s="419">
        <v>12</v>
      </c>
      <c r="S109" s="459">
        <v>5.2</v>
      </c>
      <c r="T109" s="414">
        <v>0.22</v>
      </c>
      <c r="U109" s="414"/>
      <c r="V109" s="414">
        <v>310.25</v>
      </c>
      <c r="W109" s="414">
        <v>50</v>
      </c>
      <c r="X109" s="414">
        <v>360.25</v>
      </c>
      <c r="Y109" s="425"/>
      <c r="Z109" s="420"/>
      <c r="AA109" s="414">
        <v>0.56999999999999995</v>
      </c>
      <c r="AB109" s="420"/>
      <c r="AC109" s="414">
        <v>0.56999999999999995</v>
      </c>
      <c r="AD109" s="420"/>
      <c r="AE109" s="414"/>
      <c r="AF109" s="420"/>
      <c r="AG109" s="415">
        <v>35</v>
      </c>
    </row>
    <row r="110" spans="7:33" s="421" customFormat="1" ht="13.5" thickBot="1" x14ac:dyDescent="0.25">
      <c r="K110" s="424" t="s">
        <v>430</v>
      </c>
      <c r="L110" s="417" t="s">
        <v>625</v>
      </c>
      <c r="M110" s="430">
        <v>45019</v>
      </c>
      <c r="N110" s="418">
        <v>42.5</v>
      </c>
      <c r="O110" s="419">
        <v>248</v>
      </c>
      <c r="P110" s="419">
        <v>249</v>
      </c>
      <c r="Q110" s="414">
        <v>0.75</v>
      </c>
      <c r="R110" s="419">
        <v>12</v>
      </c>
      <c r="S110" s="459">
        <v>5.2</v>
      </c>
      <c r="T110" s="414">
        <v>0.22</v>
      </c>
      <c r="U110" s="414"/>
      <c r="V110" s="414">
        <v>361.25</v>
      </c>
      <c r="W110" s="414">
        <v>50</v>
      </c>
      <c r="X110" s="414">
        <v>411.25</v>
      </c>
      <c r="Y110" s="425"/>
      <c r="Z110" s="420"/>
      <c r="AA110" s="414">
        <v>0.56999999999999995</v>
      </c>
      <c r="AB110" s="420"/>
      <c r="AC110" s="414">
        <v>0.56999999999999995</v>
      </c>
      <c r="AD110" s="420"/>
      <c r="AE110" s="414"/>
      <c r="AF110" s="420"/>
      <c r="AG110" s="415">
        <v>35</v>
      </c>
    </row>
    <row r="111" spans="7:33" s="421" customFormat="1" x14ac:dyDescent="0.2">
      <c r="K111" s="453"/>
      <c r="L111" s="436"/>
      <c r="M111" s="437"/>
      <c r="N111" s="438"/>
      <c r="O111" s="439"/>
      <c r="P111" s="439"/>
      <c r="Q111" s="440"/>
      <c r="R111" s="439"/>
      <c r="S111" s="461"/>
      <c r="T111" s="440"/>
      <c r="U111" s="440"/>
      <c r="V111" s="440"/>
      <c r="W111" s="440"/>
      <c r="X111" s="440"/>
      <c r="Y111" s="440"/>
      <c r="Z111" s="441"/>
      <c r="AA111" s="440"/>
      <c r="AB111" s="441"/>
      <c r="AC111" s="440"/>
      <c r="AD111" s="441"/>
      <c r="AE111" s="440"/>
      <c r="AF111" s="441"/>
      <c r="AG111" s="422"/>
    </row>
    <row r="112" spans="7:33" s="421" customFormat="1" ht="13.5" thickBot="1" x14ac:dyDescent="0.25">
      <c r="G112" s="426">
        <f>COUNTA(rD1.BrickProducts06)</f>
        <v>10</v>
      </c>
      <c r="K112" s="421" t="s">
        <v>401</v>
      </c>
      <c r="L112" s="442"/>
      <c r="M112" s="431"/>
      <c r="N112" s="432"/>
      <c r="O112" s="443"/>
      <c r="P112" s="443"/>
      <c r="Q112" s="434"/>
      <c r="R112" s="443"/>
      <c r="S112" s="460"/>
      <c r="T112" s="434"/>
      <c r="U112" s="434"/>
      <c r="V112" s="434"/>
      <c r="W112" s="434"/>
      <c r="X112" s="434"/>
      <c r="Y112" s="434"/>
      <c r="Z112" s="444"/>
      <c r="AA112" s="434"/>
      <c r="AB112" s="444"/>
      <c r="AC112" s="434"/>
      <c r="AD112" s="444"/>
      <c r="AE112" s="434"/>
      <c r="AF112" s="444"/>
      <c r="AG112" s="475"/>
    </row>
    <row r="113" spans="7:33" s="421" customFormat="1" ht="13.5" thickBot="1" x14ac:dyDescent="0.25">
      <c r="G113" s="429"/>
      <c r="K113" s="476" t="s">
        <v>663</v>
      </c>
      <c r="L113" s="463">
        <v>1252</v>
      </c>
      <c r="M113" s="448">
        <v>46408</v>
      </c>
      <c r="N113" s="449">
        <v>36.5</v>
      </c>
      <c r="O113" s="450">
        <v>248</v>
      </c>
      <c r="P113" s="450">
        <v>249</v>
      </c>
      <c r="Q113" s="451">
        <v>0.7</v>
      </c>
      <c r="R113" s="450">
        <v>10</v>
      </c>
      <c r="S113" s="462">
        <v>4.7</v>
      </c>
      <c r="T113" s="451">
        <v>0.22</v>
      </c>
      <c r="U113" s="451"/>
      <c r="V113" s="451">
        <v>292</v>
      </c>
      <c r="W113" s="451">
        <v>50</v>
      </c>
      <c r="X113" s="451">
        <f>V113+W113</f>
        <v>342</v>
      </c>
      <c r="Y113" s="425"/>
      <c r="Z113" s="452"/>
      <c r="AA113" s="451">
        <v>0.69</v>
      </c>
      <c r="AB113" s="452"/>
      <c r="AC113" s="451">
        <v>0.69</v>
      </c>
      <c r="AD113" s="452"/>
      <c r="AE113" s="451"/>
      <c r="AF113" s="452"/>
      <c r="AG113" s="423">
        <v>35</v>
      </c>
    </row>
    <row r="114" spans="7:33" s="421" customFormat="1" ht="13.5" thickBot="1" x14ac:dyDescent="0.25">
      <c r="G114" s="429"/>
      <c r="K114" s="429" t="s">
        <v>664</v>
      </c>
      <c r="L114" s="464">
        <v>1252</v>
      </c>
      <c r="M114" s="430">
        <v>46408</v>
      </c>
      <c r="N114" s="418">
        <v>42.5</v>
      </c>
      <c r="O114" s="419">
        <v>248</v>
      </c>
      <c r="P114" s="419">
        <v>249</v>
      </c>
      <c r="Q114" s="414">
        <v>0.7</v>
      </c>
      <c r="R114" s="419">
        <v>8</v>
      </c>
      <c r="S114" s="459">
        <v>4</v>
      </c>
      <c r="T114" s="414">
        <v>0.22</v>
      </c>
      <c r="U114" s="414"/>
      <c r="V114" s="414">
        <v>340</v>
      </c>
      <c r="W114" s="414">
        <v>50</v>
      </c>
      <c r="X114" s="414">
        <f>V114+W114</f>
        <v>390</v>
      </c>
      <c r="Y114" s="425"/>
      <c r="Z114" s="420"/>
      <c r="AA114" s="414">
        <v>0.69</v>
      </c>
      <c r="AB114" s="420"/>
      <c r="AC114" s="414">
        <v>0.69</v>
      </c>
      <c r="AD114" s="420"/>
      <c r="AE114" s="414"/>
      <c r="AF114" s="420"/>
      <c r="AG114" s="415">
        <v>35</v>
      </c>
    </row>
    <row r="115" spans="7:33" s="421" customFormat="1" x14ac:dyDescent="0.2">
      <c r="K115" s="424" t="s">
        <v>426</v>
      </c>
      <c r="L115" s="417">
        <v>1187</v>
      </c>
      <c r="M115" s="430">
        <v>45369</v>
      </c>
      <c r="N115" s="418">
        <v>36.5</v>
      </c>
      <c r="O115" s="419">
        <v>248</v>
      </c>
      <c r="P115" s="419">
        <v>249</v>
      </c>
      <c r="Q115" s="414">
        <v>0.75</v>
      </c>
      <c r="R115" s="419">
        <v>10</v>
      </c>
      <c r="S115" s="459">
        <v>4.5</v>
      </c>
      <c r="T115" s="414">
        <v>0.22</v>
      </c>
      <c r="U115" s="414"/>
      <c r="V115" s="414">
        <v>310.25</v>
      </c>
      <c r="W115" s="414">
        <v>50</v>
      </c>
      <c r="X115" s="414">
        <v>360.25</v>
      </c>
      <c r="Y115" s="414">
        <v>0.64</v>
      </c>
      <c r="Z115" s="420"/>
      <c r="AA115" s="414">
        <v>0.64</v>
      </c>
      <c r="AB115" s="420"/>
      <c r="AC115" s="414">
        <v>0.64</v>
      </c>
      <c r="AD115" s="420"/>
      <c r="AE115" s="414">
        <v>0.64</v>
      </c>
      <c r="AF115" s="420"/>
      <c r="AG115" s="415">
        <v>35</v>
      </c>
    </row>
    <row r="116" spans="7:33" s="421" customFormat="1" x14ac:dyDescent="0.2">
      <c r="K116" s="416" t="s">
        <v>427</v>
      </c>
      <c r="L116" s="417">
        <v>1187</v>
      </c>
      <c r="M116" s="430">
        <v>45369</v>
      </c>
      <c r="N116" s="418">
        <v>42.5</v>
      </c>
      <c r="O116" s="419">
        <v>248</v>
      </c>
      <c r="P116" s="419">
        <v>249</v>
      </c>
      <c r="Q116" s="414">
        <v>0.75</v>
      </c>
      <c r="R116" s="419">
        <v>10</v>
      </c>
      <c r="S116" s="459">
        <v>4.5</v>
      </c>
      <c r="T116" s="414">
        <v>0.22</v>
      </c>
      <c r="U116" s="414"/>
      <c r="V116" s="414">
        <v>361.25</v>
      </c>
      <c r="W116" s="414">
        <v>50</v>
      </c>
      <c r="X116" s="414">
        <v>411.25</v>
      </c>
      <c r="Y116" s="414">
        <v>0.64</v>
      </c>
      <c r="Z116" s="420"/>
      <c r="AA116" s="414">
        <v>0.64</v>
      </c>
      <c r="AB116" s="420"/>
      <c r="AC116" s="414">
        <v>0.64</v>
      </c>
      <c r="AD116" s="420"/>
      <c r="AE116" s="414">
        <v>0.64</v>
      </c>
      <c r="AF116" s="420"/>
      <c r="AG116" s="415">
        <v>35</v>
      </c>
    </row>
    <row r="117" spans="7:33" s="421" customFormat="1" x14ac:dyDescent="0.2">
      <c r="K117" s="424" t="s">
        <v>428</v>
      </c>
      <c r="L117" s="417">
        <v>1104</v>
      </c>
      <c r="M117" s="430">
        <v>45334</v>
      </c>
      <c r="N117" s="418">
        <v>49</v>
      </c>
      <c r="O117" s="419">
        <v>248</v>
      </c>
      <c r="P117" s="419">
        <v>249</v>
      </c>
      <c r="Q117" s="414">
        <v>0.75</v>
      </c>
      <c r="R117" s="419">
        <v>10</v>
      </c>
      <c r="S117" s="459">
        <v>3.6</v>
      </c>
      <c r="T117" s="414">
        <v>0.22</v>
      </c>
      <c r="U117" s="414"/>
      <c r="V117" s="414">
        <v>416.5</v>
      </c>
      <c r="W117" s="414">
        <v>50</v>
      </c>
      <c r="X117" s="414">
        <v>466.5</v>
      </c>
      <c r="Y117" s="414">
        <v>0.7</v>
      </c>
      <c r="Z117" s="420"/>
      <c r="AA117" s="414">
        <v>0.7</v>
      </c>
      <c r="AB117" s="420"/>
      <c r="AC117" s="414">
        <v>0.7</v>
      </c>
      <c r="AD117" s="420"/>
      <c r="AE117" s="414">
        <v>0.7</v>
      </c>
      <c r="AF117" s="420"/>
      <c r="AG117" s="415">
        <v>35</v>
      </c>
    </row>
    <row r="118" spans="7:33" s="421" customFormat="1" x14ac:dyDescent="0.2">
      <c r="K118" s="424" t="s">
        <v>431</v>
      </c>
      <c r="L118" s="417">
        <v>1145</v>
      </c>
      <c r="M118" s="430">
        <v>45439</v>
      </c>
      <c r="N118" s="418">
        <v>36.5</v>
      </c>
      <c r="O118" s="419">
        <v>248</v>
      </c>
      <c r="P118" s="419">
        <v>249</v>
      </c>
      <c r="Q118" s="414">
        <v>0.8</v>
      </c>
      <c r="R118" s="419">
        <v>10</v>
      </c>
      <c r="S118" s="459">
        <v>4.5999999999999996</v>
      </c>
      <c r="T118" s="414">
        <v>0.22</v>
      </c>
      <c r="U118" s="414"/>
      <c r="V118" s="414">
        <v>328.5</v>
      </c>
      <c r="W118" s="414">
        <v>50</v>
      </c>
      <c r="X118" s="414">
        <v>378.5</v>
      </c>
      <c r="Y118" s="414">
        <v>0.7</v>
      </c>
      <c r="Z118" s="420"/>
      <c r="AA118" s="414">
        <v>0.7</v>
      </c>
      <c r="AB118" s="420"/>
      <c r="AC118" s="414">
        <v>0.7</v>
      </c>
      <c r="AD118" s="420"/>
      <c r="AE118" s="414">
        <v>0.7</v>
      </c>
      <c r="AF118" s="420"/>
      <c r="AG118" s="415">
        <v>35</v>
      </c>
    </row>
    <row r="119" spans="7:33" s="421" customFormat="1" x14ac:dyDescent="0.2">
      <c r="K119" s="424" t="s">
        <v>432</v>
      </c>
      <c r="L119" s="417">
        <v>1145</v>
      </c>
      <c r="M119" s="430">
        <v>45439</v>
      </c>
      <c r="N119" s="418">
        <v>42.5</v>
      </c>
      <c r="O119" s="419">
        <v>248</v>
      </c>
      <c r="P119" s="419">
        <v>249</v>
      </c>
      <c r="Q119" s="414">
        <v>0.8</v>
      </c>
      <c r="R119" s="419">
        <v>10</v>
      </c>
      <c r="S119" s="459">
        <v>4.5999999999999996</v>
      </c>
      <c r="T119" s="414">
        <v>0.22</v>
      </c>
      <c r="U119" s="414"/>
      <c r="V119" s="414">
        <v>382.5</v>
      </c>
      <c r="W119" s="414">
        <v>50</v>
      </c>
      <c r="X119" s="414">
        <v>432.5</v>
      </c>
      <c r="Y119" s="414">
        <v>0.7</v>
      </c>
      <c r="Z119" s="420"/>
      <c r="AA119" s="414">
        <v>0.7</v>
      </c>
      <c r="AB119" s="420"/>
      <c r="AC119" s="414">
        <v>0.7</v>
      </c>
      <c r="AD119" s="420"/>
      <c r="AE119" s="414">
        <v>0.7</v>
      </c>
      <c r="AF119" s="420"/>
      <c r="AG119" s="415">
        <v>35</v>
      </c>
    </row>
    <row r="120" spans="7:33" s="421" customFormat="1" x14ac:dyDescent="0.2">
      <c r="K120" s="424" t="s">
        <v>433</v>
      </c>
      <c r="L120" s="417">
        <v>1101</v>
      </c>
      <c r="M120" s="430">
        <v>45366</v>
      </c>
      <c r="N120" s="418">
        <v>30</v>
      </c>
      <c r="O120" s="419">
        <v>248</v>
      </c>
      <c r="P120" s="419">
        <v>249</v>
      </c>
      <c r="Q120" s="414">
        <v>0.8</v>
      </c>
      <c r="R120" s="419">
        <v>12</v>
      </c>
      <c r="S120" s="459">
        <v>5.2</v>
      </c>
      <c r="T120" s="414">
        <v>0.22</v>
      </c>
      <c r="U120" s="414"/>
      <c r="V120" s="414">
        <v>270</v>
      </c>
      <c r="W120" s="414">
        <v>50</v>
      </c>
      <c r="X120" s="414">
        <v>320</v>
      </c>
      <c r="Y120" s="414">
        <v>0.7</v>
      </c>
      <c r="Z120" s="420"/>
      <c r="AA120" s="414">
        <v>0.7</v>
      </c>
      <c r="AB120" s="420"/>
      <c r="AC120" s="414">
        <v>0.7</v>
      </c>
      <c r="AD120" s="420"/>
      <c r="AE120" s="414">
        <v>0.7</v>
      </c>
      <c r="AF120" s="420"/>
      <c r="AG120" s="415">
        <v>35</v>
      </c>
    </row>
    <row r="121" spans="7:33" s="421" customFormat="1" x14ac:dyDescent="0.2">
      <c r="K121" s="424" t="s">
        <v>434</v>
      </c>
      <c r="L121" s="417">
        <v>1101</v>
      </c>
      <c r="M121" s="430">
        <v>45366</v>
      </c>
      <c r="N121" s="418">
        <v>36.5</v>
      </c>
      <c r="O121" s="419">
        <v>248</v>
      </c>
      <c r="P121" s="419">
        <v>249</v>
      </c>
      <c r="Q121" s="414">
        <v>0.8</v>
      </c>
      <c r="R121" s="419">
        <v>12</v>
      </c>
      <c r="S121" s="459">
        <v>5.2</v>
      </c>
      <c r="T121" s="414">
        <v>0.22</v>
      </c>
      <c r="U121" s="414"/>
      <c r="V121" s="414">
        <v>328.5</v>
      </c>
      <c r="W121" s="414">
        <v>50</v>
      </c>
      <c r="X121" s="414">
        <v>378.5</v>
      </c>
      <c r="Y121" s="414">
        <v>0.7</v>
      </c>
      <c r="Z121" s="420"/>
      <c r="AA121" s="414">
        <v>0.7</v>
      </c>
      <c r="AB121" s="420"/>
      <c r="AC121" s="414">
        <v>0.7</v>
      </c>
      <c r="AD121" s="420"/>
      <c r="AE121" s="414">
        <v>0.7</v>
      </c>
      <c r="AF121" s="420"/>
      <c r="AG121" s="415">
        <v>35</v>
      </c>
    </row>
    <row r="122" spans="7:33" s="421" customFormat="1" x14ac:dyDescent="0.2">
      <c r="K122" s="424" t="s">
        <v>435</v>
      </c>
      <c r="L122" s="417">
        <v>1101</v>
      </c>
      <c r="M122" s="430">
        <v>45366</v>
      </c>
      <c r="N122" s="418">
        <v>42.5</v>
      </c>
      <c r="O122" s="419">
        <v>248</v>
      </c>
      <c r="P122" s="419">
        <v>249</v>
      </c>
      <c r="Q122" s="414">
        <v>0.8</v>
      </c>
      <c r="R122" s="419">
        <v>12</v>
      </c>
      <c r="S122" s="459">
        <v>5.2</v>
      </c>
      <c r="T122" s="414">
        <v>0.22</v>
      </c>
      <c r="U122" s="414"/>
      <c r="V122" s="414">
        <v>382.5</v>
      </c>
      <c r="W122" s="414">
        <v>50</v>
      </c>
      <c r="X122" s="414">
        <v>432.5</v>
      </c>
      <c r="Y122" s="414">
        <v>0.7</v>
      </c>
      <c r="Z122" s="420"/>
      <c r="AA122" s="414">
        <v>0.7</v>
      </c>
      <c r="AB122" s="420"/>
      <c r="AC122" s="414">
        <v>0.7</v>
      </c>
      <c r="AD122" s="420"/>
      <c r="AE122" s="414">
        <v>0.7</v>
      </c>
      <c r="AF122" s="420"/>
      <c r="AG122" s="415">
        <v>35</v>
      </c>
    </row>
    <row r="123" spans="7:33" s="421" customFormat="1" x14ac:dyDescent="0.2">
      <c r="K123" s="424"/>
      <c r="L123" s="417"/>
      <c r="M123" s="430"/>
      <c r="N123" s="418"/>
      <c r="O123" s="419"/>
      <c r="P123" s="419"/>
      <c r="Q123" s="414"/>
      <c r="R123" s="419"/>
      <c r="S123" s="459"/>
      <c r="T123" s="414"/>
      <c r="U123" s="414"/>
      <c r="V123" s="414"/>
      <c r="W123" s="414"/>
      <c r="X123" s="414"/>
      <c r="Y123" s="414"/>
      <c r="Z123" s="420"/>
      <c r="AA123" s="414"/>
      <c r="AB123" s="420"/>
      <c r="AC123" s="414"/>
      <c r="AD123" s="420"/>
      <c r="AE123" s="414"/>
      <c r="AF123" s="420"/>
      <c r="AG123" s="415"/>
    </row>
    <row r="124" spans="7:33" s="421" customFormat="1" x14ac:dyDescent="0.2">
      <c r="K124" s="453"/>
      <c r="L124" s="436"/>
      <c r="M124" s="437"/>
      <c r="N124" s="438"/>
      <c r="O124" s="439"/>
      <c r="P124" s="439"/>
      <c r="Q124" s="440"/>
      <c r="R124" s="439"/>
      <c r="S124" s="461"/>
      <c r="T124" s="440"/>
      <c r="U124" s="440"/>
      <c r="V124" s="440"/>
      <c r="W124" s="440"/>
      <c r="X124" s="440"/>
      <c r="Y124" s="440"/>
      <c r="Z124" s="441"/>
      <c r="AA124" s="440"/>
      <c r="AB124" s="441"/>
      <c r="AC124" s="440"/>
      <c r="AD124" s="441"/>
      <c r="AE124" s="440"/>
      <c r="AF124" s="441"/>
      <c r="AG124" s="422"/>
    </row>
  </sheetData>
  <customSheetViews>
    <customSheetView guid="{D9E11D92-C3F6-400D-9CCD-0BAB3C21C6A8}" topLeftCell="R1">
      <selection activeCell="AD71" sqref="AD71"/>
      <pageMargins left="0.70866141732283472" right="0.70866141732283472" top="0.78740157480314965" bottom="0.78740157480314965" header="0.31496062992125984" footer="0.31496062992125984"/>
      <pageSetup paperSize="8" scale="71" orientation="landscape" horizontalDpi="4294967293" r:id="rId1"/>
    </customSheetView>
  </customSheetViews>
  <phoneticPr fontId="44" type="noConversion"/>
  <pageMargins left="0.70866141732283472" right="0.70866141732283472" top="0.78740157480314965" bottom="0.78740157480314965" header="0.31496062992125984" footer="0.31496062992125984"/>
  <pageSetup paperSize="8" scale="59" fitToHeight="0"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6">
    <tabColor rgb="FFFFFF00"/>
  </sheetPr>
  <dimension ref="J1:W41"/>
  <sheetViews>
    <sheetView topLeftCell="C1" zoomScaleNormal="100" workbookViewId="0">
      <selection activeCell="L24" sqref="L24:P24"/>
    </sheetView>
  </sheetViews>
  <sheetFormatPr baseColWidth="10" defaultColWidth="11" defaultRowHeight="12.75" x14ac:dyDescent="0.2"/>
  <cols>
    <col min="1" max="9" width="1.5" style="4" customWidth="1"/>
    <col min="10" max="10" width="1.625" style="4" customWidth="1"/>
    <col min="11" max="11" width="11" style="4"/>
    <col min="12" max="12" width="12.375" style="4" customWidth="1"/>
    <col min="13" max="13" width="18.75" style="4" customWidth="1"/>
    <col min="14" max="14" width="12.5" style="4" customWidth="1"/>
    <col min="15" max="15" width="14" style="4" customWidth="1"/>
    <col min="16" max="16384" width="11" style="4"/>
  </cols>
  <sheetData>
    <row r="1" spans="10:23" ht="8.1" customHeight="1" x14ac:dyDescent="0.2"/>
    <row r="2" spans="10:23" x14ac:dyDescent="0.2">
      <c r="M2" s="8" t="s">
        <v>163</v>
      </c>
      <c r="N2" s="9"/>
      <c r="O2" s="9"/>
      <c r="P2" s="9"/>
      <c r="Q2" s="9"/>
      <c r="R2" s="9"/>
      <c r="S2" s="9"/>
      <c r="T2" s="9"/>
      <c r="U2" s="9"/>
      <c r="V2" s="9"/>
      <c r="W2" s="10"/>
    </row>
    <row r="3" spans="10:23" x14ac:dyDescent="0.2">
      <c r="M3" s="11" t="s">
        <v>148</v>
      </c>
      <c r="N3" s="12" t="s">
        <v>160</v>
      </c>
      <c r="O3" s="13"/>
      <c r="P3" s="13"/>
      <c r="Q3" s="13"/>
      <c r="R3" s="13"/>
      <c r="S3" s="13"/>
      <c r="T3" s="13"/>
      <c r="U3" s="13"/>
      <c r="V3" s="13"/>
      <c r="W3" s="14"/>
    </row>
    <row r="4" spans="10:23" x14ac:dyDescent="0.2">
      <c r="M4" s="15" t="s">
        <v>149</v>
      </c>
      <c r="N4" s="12" t="s">
        <v>161</v>
      </c>
      <c r="O4" s="13"/>
      <c r="P4" s="13"/>
      <c r="Q4" s="13"/>
      <c r="R4" s="13"/>
      <c r="S4" s="13"/>
      <c r="T4" s="13"/>
      <c r="U4" s="13"/>
      <c r="V4" s="13"/>
      <c r="W4" s="14"/>
    </row>
    <row r="5" spans="10:23" x14ac:dyDescent="0.2">
      <c r="M5" s="15" t="s">
        <v>150</v>
      </c>
      <c r="N5" s="12" t="s">
        <v>162</v>
      </c>
      <c r="O5" s="13"/>
      <c r="P5" s="13"/>
      <c r="Q5" s="13"/>
      <c r="R5" s="13"/>
      <c r="S5" s="13"/>
      <c r="T5" s="13"/>
      <c r="U5" s="13"/>
      <c r="V5" s="13"/>
      <c r="W5" s="14"/>
    </row>
    <row r="6" spans="10:23" x14ac:dyDescent="0.2">
      <c r="M6" s="17" t="s">
        <v>157</v>
      </c>
      <c r="N6" s="18" t="s">
        <v>159</v>
      </c>
      <c r="O6" s="19"/>
      <c r="P6" s="19"/>
      <c r="Q6" s="19"/>
      <c r="R6" s="19"/>
      <c r="S6" s="19"/>
      <c r="T6" s="19"/>
      <c r="U6" s="19"/>
      <c r="V6" s="19"/>
      <c r="W6" s="20"/>
    </row>
    <row r="7" spans="10:23" x14ac:dyDescent="0.2">
      <c r="M7" s="21" t="s">
        <v>158</v>
      </c>
      <c r="N7" s="22" t="s">
        <v>167</v>
      </c>
      <c r="O7" s="23"/>
      <c r="P7" s="23"/>
      <c r="Q7" s="23"/>
      <c r="R7" s="23"/>
      <c r="S7" s="23"/>
      <c r="T7" s="23"/>
      <c r="U7" s="23"/>
      <c r="V7" s="23"/>
      <c r="W7" s="24"/>
    </row>
    <row r="8" spans="10:23" x14ac:dyDescent="0.2">
      <c r="K8" s="41"/>
    </row>
    <row r="9" spans="10:23" x14ac:dyDescent="0.2">
      <c r="J9" s="40"/>
      <c r="K9" s="5">
        <f>COUNTA(rD3.Concrete)</f>
        <v>15</v>
      </c>
    </row>
    <row r="10" spans="10:23" x14ac:dyDescent="0.2">
      <c r="L10" s="7">
        <v>1</v>
      </c>
      <c r="M10" s="7">
        <v>2</v>
      </c>
      <c r="N10" s="7">
        <v>3</v>
      </c>
      <c r="O10" s="7">
        <v>4</v>
      </c>
    </row>
    <row r="11" spans="10:23" ht="37.5" customHeight="1" x14ac:dyDescent="0.3">
      <c r="K11" s="30"/>
      <c r="L11" s="38" t="s">
        <v>168</v>
      </c>
      <c r="M11" s="39" t="s">
        <v>169</v>
      </c>
      <c r="N11" s="39" t="s">
        <v>170</v>
      </c>
      <c r="O11" s="43" t="s">
        <v>171</v>
      </c>
    </row>
    <row r="12" spans="10:23" x14ac:dyDescent="0.2">
      <c r="K12" s="35" t="s">
        <v>17</v>
      </c>
      <c r="L12" s="44">
        <v>12</v>
      </c>
      <c r="M12" s="31">
        <v>20</v>
      </c>
      <c r="N12" s="31">
        <v>1.6</v>
      </c>
      <c r="O12" s="20">
        <v>27000</v>
      </c>
    </row>
    <row r="13" spans="10:23" x14ac:dyDescent="0.2">
      <c r="K13" s="36" t="s">
        <v>18</v>
      </c>
      <c r="L13" s="45">
        <v>16</v>
      </c>
      <c r="M13" s="33">
        <v>24</v>
      </c>
      <c r="N13" s="33">
        <v>1.9</v>
      </c>
      <c r="O13" s="14">
        <v>29000</v>
      </c>
    </row>
    <row r="14" spans="10:23" x14ac:dyDescent="0.2">
      <c r="K14" s="36" t="s">
        <v>19</v>
      </c>
      <c r="L14" s="45">
        <v>20</v>
      </c>
      <c r="M14" s="33">
        <v>28</v>
      </c>
      <c r="N14" s="33">
        <v>2.2000000000000002</v>
      </c>
      <c r="O14" s="14">
        <v>30000</v>
      </c>
    </row>
    <row r="15" spans="10:23" x14ac:dyDescent="0.2">
      <c r="K15" s="36" t="s">
        <v>20</v>
      </c>
      <c r="L15" s="45">
        <v>25</v>
      </c>
      <c r="M15" s="33">
        <v>33</v>
      </c>
      <c r="N15" s="33">
        <v>2.6</v>
      </c>
      <c r="O15" s="14">
        <v>31000</v>
      </c>
    </row>
    <row r="16" spans="10:23" x14ac:dyDescent="0.2">
      <c r="K16" s="36" t="s">
        <v>21</v>
      </c>
      <c r="L16" s="45">
        <v>30</v>
      </c>
      <c r="M16" s="33">
        <v>38</v>
      </c>
      <c r="N16" s="33">
        <v>2.9</v>
      </c>
      <c r="O16" s="14">
        <v>33000</v>
      </c>
    </row>
    <row r="17" spans="11:15" x14ac:dyDescent="0.2">
      <c r="K17" s="36" t="s">
        <v>22</v>
      </c>
      <c r="L17" s="45">
        <v>35</v>
      </c>
      <c r="M17" s="33">
        <v>43</v>
      </c>
      <c r="N17" s="33">
        <v>3.2</v>
      </c>
      <c r="O17" s="14">
        <v>34000</v>
      </c>
    </row>
    <row r="18" spans="11:15" x14ac:dyDescent="0.2">
      <c r="K18" s="36" t="s">
        <v>23</v>
      </c>
      <c r="L18" s="45">
        <v>40</v>
      </c>
      <c r="M18" s="33">
        <v>48</v>
      </c>
      <c r="N18" s="33">
        <v>3.5</v>
      </c>
      <c r="O18" s="14">
        <v>35000</v>
      </c>
    </row>
    <row r="19" spans="11:15" x14ac:dyDescent="0.2">
      <c r="K19" s="36" t="s">
        <v>24</v>
      </c>
      <c r="L19" s="45">
        <v>45</v>
      </c>
      <c r="M19" s="33">
        <v>53</v>
      </c>
      <c r="N19" s="33">
        <v>3.8</v>
      </c>
      <c r="O19" s="14">
        <v>36000</v>
      </c>
    </row>
    <row r="20" spans="11:15" x14ac:dyDescent="0.2">
      <c r="K20" s="36" t="s">
        <v>25</v>
      </c>
      <c r="L20" s="45">
        <v>50</v>
      </c>
      <c r="M20" s="33">
        <v>58</v>
      </c>
      <c r="N20" s="33">
        <v>4.0999999999999996</v>
      </c>
      <c r="O20" s="14">
        <v>37000</v>
      </c>
    </row>
    <row r="21" spans="11:15" x14ac:dyDescent="0.2">
      <c r="K21" s="36" t="s">
        <v>26</v>
      </c>
      <c r="L21" s="45">
        <v>55</v>
      </c>
      <c r="M21" s="33">
        <v>63</v>
      </c>
      <c r="N21" s="33">
        <v>4.2</v>
      </c>
      <c r="O21" s="14">
        <v>38000</v>
      </c>
    </row>
    <row r="22" spans="11:15" x14ac:dyDescent="0.2">
      <c r="K22" s="36" t="s">
        <v>27</v>
      </c>
      <c r="L22" s="45">
        <v>60</v>
      </c>
      <c r="M22" s="33">
        <v>68</v>
      </c>
      <c r="N22" s="33">
        <v>4.4000000000000004</v>
      </c>
      <c r="O22" s="14">
        <v>39000</v>
      </c>
    </row>
    <row r="23" spans="11:15" x14ac:dyDescent="0.2">
      <c r="K23" s="36" t="s">
        <v>28</v>
      </c>
      <c r="L23" s="45">
        <v>70</v>
      </c>
      <c r="M23" s="33">
        <v>78</v>
      </c>
      <c r="N23" s="33">
        <v>4.5999999999999996</v>
      </c>
      <c r="O23" s="14">
        <v>41000</v>
      </c>
    </row>
    <row r="24" spans="11:15" x14ac:dyDescent="0.2">
      <c r="K24" s="36" t="s">
        <v>29</v>
      </c>
      <c r="L24" s="45">
        <v>80</v>
      </c>
      <c r="M24" s="33">
        <v>88</v>
      </c>
      <c r="N24" s="33">
        <v>4.8</v>
      </c>
      <c r="O24" s="14">
        <v>42000</v>
      </c>
    </row>
    <row r="25" spans="11:15" x14ac:dyDescent="0.2">
      <c r="K25" s="36" t="s">
        <v>30</v>
      </c>
      <c r="L25" s="45">
        <v>90</v>
      </c>
      <c r="M25" s="33">
        <v>98</v>
      </c>
      <c r="N25" s="33">
        <v>5</v>
      </c>
      <c r="O25" s="14">
        <v>44000</v>
      </c>
    </row>
    <row r="26" spans="11:15" x14ac:dyDescent="0.2">
      <c r="K26" s="36" t="s">
        <v>31</v>
      </c>
      <c r="L26" s="45">
        <v>100</v>
      </c>
      <c r="M26" s="33">
        <v>108</v>
      </c>
      <c r="N26" s="33">
        <v>5.2</v>
      </c>
      <c r="O26" s="14">
        <v>45000</v>
      </c>
    </row>
    <row r="27" spans="11:15" x14ac:dyDescent="0.2">
      <c r="K27" s="36"/>
      <c r="L27" s="32"/>
      <c r="M27" s="16"/>
      <c r="N27" s="16"/>
      <c r="O27" s="40"/>
    </row>
    <row r="28" spans="11:15" x14ac:dyDescent="0.2">
      <c r="K28" s="36"/>
      <c r="L28" s="32"/>
      <c r="M28" s="16"/>
      <c r="N28" s="16"/>
      <c r="O28" s="40"/>
    </row>
    <row r="29" spans="11:15" x14ac:dyDescent="0.2">
      <c r="K29" s="36"/>
      <c r="L29" s="32"/>
      <c r="M29" s="16"/>
      <c r="N29" s="16"/>
      <c r="O29" s="40"/>
    </row>
    <row r="30" spans="11:15" x14ac:dyDescent="0.2">
      <c r="K30" s="36"/>
      <c r="L30" s="32"/>
      <c r="M30" s="16"/>
      <c r="N30" s="16"/>
      <c r="O30" s="40"/>
    </row>
    <row r="31" spans="11:15" x14ac:dyDescent="0.2">
      <c r="K31" s="36"/>
      <c r="L31" s="32"/>
      <c r="M31" s="16"/>
      <c r="N31" s="16"/>
      <c r="O31" s="40"/>
    </row>
    <row r="32" spans="11:15" x14ac:dyDescent="0.2">
      <c r="K32" s="36"/>
      <c r="L32" s="32"/>
      <c r="M32" s="16"/>
      <c r="N32" s="16"/>
      <c r="O32" s="40"/>
    </row>
    <row r="33" spans="11:15" x14ac:dyDescent="0.2">
      <c r="K33" s="36"/>
      <c r="L33" s="32"/>
      <c r="M33" s="16"/>
      <c r="N33" s="16"/>
      <c r="O33" s="40"/>
    </row>
    <row r="34" spans="11:15" x14ac:dyDescent="0.2">
      <c r="K34" s="36"/>
      <c r="L34" s="32"/>
      <c r="M34" s="16"/>
      <c r="N34" s="16"/>
      <c r="O34" s="40"/>
    </row>
    <row r="35" spans="11:15" x14ac:dyDescent="0.2">
      <c r="K35" s="36"/>
      <c r="L35" s="32"/>
      <c r="M35" s="16"/>
      <c r="N35" s="16"/>
      <c r="O35" s="40"/>
    </row>
    <row r="36" spans="11:15" x14ac:dyDescent="0.2">
      <c r="K36" s="36"/>
      <c r="L36" s="32"/>
      <c r="M36" s="16"/>
      <c r="N36" s="16"/>
      <c r="O36" s="40"/>
    </row>
    <row r="37" spans="11:15" x14ac:dyDescent="0.2">
      <c r="K37" s="36"/>
      <c r="L37" s="32"/>
      <c r="M37" s="16"/>
      <c r="N37" s="16"/>
      <c r="O37" s="40"/>
    </row>
    <row r="38" spans="11:15" x14ac:dyDescent="0.2">
      <c r="K38" s="36"/>
      <c r="L38" s="32"/>
      <c r="M38" s="16"/>
      <c r="N38" s="16"/>
      <c r="O38" s="40"/>
    </row>
    <row r="39" spans="11:15" x14ac:dyDescent="0.2">
      <c r="K39" s="36"/>
      <c r="L39" s="32"/>
      <c r="M39" s="16"/>
      <c r="N39" s="16"/>
      <c r="O39" s="40"/>
    </row>
    <row r="40" spans="11:15" x14ac:dyDescent="0.2">
      <c r="K40" s="36"/>
      <c r="L40" s="32"/>
      <c r="M40" s="16"/>
      <c r="N40" s="16"/>
      <c r="O40" s="40"/>
    </row>
    <row r="41" spans="11:15" x14ac:dyDescent="0.2">
      <c r="K41" s="37"/>
      <c r="L41" s="34"/>
      <c r="M41" s="41"/>
      <c r="N41" s="41"/>
      <c r="O41" s="42"/>
    </row>
  </sheetData>
  <customSheetViews>
    <customSheetView guid="{D9E11D92-C3F6-400D-9CCD-0BAB3C21C6A8}" topLeftCell="C1">
      <selection activeCell="M43" sqref="M43"/>
      <pageMargins left="0.7" right="0.7" top="0.78740157499999996" bottom="0.78740157499999996" header="0.3" footer="0.3"/>
    </customSheetView>
  </customSheetViews>
  <pageMargins left="0.7" right="0.7" top="0.78740157499999996" bottom="0.78740157499999996"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7">
    <tabColor rgb="FFFFFF00"/>
  </sheetPr>
  <dimension ref="K1:L35"/>
  <sheetViews>
    <sheetView topLeftCell="F1" zoomScaleNormal="100" workbookViewId="0">
      <selection activeCell="L24" sqref="L24:P24"/>
    </sheetView>
  </sheetViews>
  <sheetFormatPr baseColWidth="10" defaultRowHeight="14.25" x14ac:dyDescent="0.2"/>
  <cols>
    <col min="1" max="10" width="1.5" customWidth="1"/>
    <col min="11" max="11" width="40.75" customWidth="1"/>
    <col min="12" max="12" width="10.5" style="2" customWidth="1"/>
  </cols>
  <sheetData>
    <row r="1" spans="11:12" ht="8.1" customHeight="1" x14ac:dyDescent="0.2"/>
    <row r="2" spans="11:12" ht="8.1" customHeight="1" x14ac:dyDescent="0.2"/>
    <row r="3" spans="11:12" ht="8.1" customHeight="1" x14ac:dyDescent="0.2"/>
    <row r="4" spans="11:12" ht="8.1" customHeight="1" x14ac:dyDescent="0.2"/>
    <row r="5" spans="11:12" ht="8.1" customHeight="1" x14ac:dyDescent="0.2"/>
    <row r="6" spans="11:12" ht="8.1" customHeight="1" x14ac:dyDescent="0.2"/>
    <row r="7" spans="11:12" ht="8.1" customHeight="1" x14ac:dyDescent="0.2"/>
    <row r="8" spans="11:12" ht="8.1" customHeight="1" x14ac:dyDescent="0.2"/>
    <row r="9" spans="11:12" ht="8.1" customHeight="1" x14ac:dyDescent="0.2"/>
    <row r="10" spans="11:12" ht="8.1" customHeight="1" x14ac:dyDescent="0.2"/>
    <row r="11" spans="11:12" x14ac:dyDescent="0.2">
      <c r="K11" t="s">
        <v>77</v>
      </c>
    </row>
    <row r="12" spans="11:12" x14ac:dyDescent="0.2">
      <c r="K12" s="70" t="s">
        <v>376</v>
      </c>
      <c r="L12" s="74"/>
    </row>
    <row r="13" spans="11:12" x14ac:dyDescent="0.2">
      <c r="K13" s="71"/>
      <c r="L13" s="76"/>
    </row>
    <row r="14" spans="11:12" x14ac:dyDescent="0.2">
      <c r="K14" s="72" t="s">
        <v>377</v>
      </c>
      <c r="L14" s="75">
        <v>1.5</v>
      </c>
    </row>
    <row r="15" spans="11:12" x14ac:dyDescent="0.2">
      <c r="K15" s="73" t="s">
        <v>378</v>
      </c>
      <c r="L15" s="75">
        <v>1.3</v>
      </c>
    </row>
    <row r="16" spans="11:12" x14ac:dyDescent="0.2">
      <c r="L16" s="3"/>
    </row>
    <row r="17" spans="11:12" x14ac:dyDescent="0.2">
      <c r="K17" t="s">
        <v>498</v>
      </c>
    </row>
    <row r="18" spans="11:12" x14ac:dyDescent="0.2">
      <c r="K18" s="108" t="s">
        <v>376</v>
      </c>
      <c r="L18" s="74"/>
    </row>
    <row r="19" spans="11:12" x14ac:dyDescent="0.2">
      <c r="K19" s="72" t="s">
        <v>500</v>
      </c>
      <c r="L19" s="106">
        <v>1.35</v>
      </c>
    </row>
    <row r="20" spans="11:12" x14ac:dyDescent="0.2">
      <c r="K20" s="73" t="s">
        <v>499</v>
      </c>
      <c r="L20" s="107">
        <v>1</v>
      </c>
    </row>
    <row r="27" spans="11:12" ht="30" customHeight="1" x14ac:dyDescent="0.2"/>
    <row r="35" ht="30" customHeight="1" x14ac:dyDescent="0.2"/>
  </sheetData>
  <customSheetViews>
    <customSheetView guid="{D9E11D92-C3F6-400D-9CCD-0BAB3C21C6A8}" topLeftCell="F1">
      <selection activeCell="O19" sqref="O19"/>
      <pageMargins left="0.7" right="0.7" top="0.78740157499999996" bottom="0.78740157499999996" header="0.3" footer="0.3"/>
    </customSheetView>
  </customSheetViews>
  <pageMargins left="0.7" right="0.7" top="0.78740157499999996" bottom="0.78740157499999996"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7F19A8ED346314BA5A16EC5BD62888B" ma:contentTypeVersion="" ma:contentTypeDescription="Create a new document." ma:contentTypeScope="" ma:versionID="b9ca11e6c69571dd2f61c6e5cf43d914">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287203-97AF-408E-B184-098C5EF68788}">
  <ds:schemaRefs>
    <ds:schemaRef ds:uri="http://schemas.microsoft.com/sharepoint/v3/contenttype/forms"/>
  </ds:schemaRefs>
</ds:datastoreItem>
</file>

<file path=customXml/itemProps2.xml><?xml version="1.0" encoding="utf-8"?>
<ds:datastoreItem xmlns:ds="http://schemas.openxmlformats.org/officeDocument/2006/customXml" ds:itemID="{E7A19EC5-8652-48C6-A54B-BBB86B6AE1FE}">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72558540-77C8-4633-8474-3CFD217E12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1268</vt:i4>
      </vt:variant>
    </vt:vector>
  </HeadingPairs>
  <TitlesOfParts>
    <vt:vector size="1285" baseType="lpstr">
      <vt:lpstr>Disclaimer</vt:lpstr>
      <vt:lpstr>Berechnung</vt:lpstr>
      <vt:lpstr>Beispiel 1</vt:lpstr>
      <vt:lpstr>Beispiel 2</vt:lpstr>
      <vt:lpstr>Beispiel 3</vt:lpstr>
      <vt:lpstr>D1 Ziegel</vt:lpstr>
      <vt:lpstr>D3 Beton</vt:lpstr>
      <vt:lpstr>D4 Sicherheiten</vt:lpstr>
      <vt:lpstr>L1 Auflager</vt:lpstr>
      <vt:lpstr>L2 Produktgruppen</vt:lpstr>
      <vt:lpstr>L3 Momente Wind</vt:lpstr>
      <vt:lpstr>L4 Dicke Beton</vt:lpstr>
      <vt:lpstr>L5 Überbindemaß</vt:lpstr>
      <vt:lpstr>L6 Feuerwiderstand</vt:lpstr>
      <vt:lpstr>Parameter 1</vt:lpstr>
      <vt:lpstr>Parameter 2 Ausgabe</vt:lpstr>
      <vt:lpstr>Namensliste</vt:lpstr>
      <vt:lpstr>'Beispiel 1'!Druckbereich</vt:lpstr>
      <vt:lpstr>'Beispiel 2'!Druckbereich</vt:lpstr>
      <vt:lpstr>'Beispiel 3'!Druckbereich</vt:lpstr>
      <vt:lpstr>Berechnung!Druckbereich</vt:lpstr>
      <vt:lpstr>rD1.BrickNumber01</vt:lpstr>
      <vt:lpstr>rD1.BrickNumber02</vt:lpstr>
      <vt:lpstr>rD1.BrickNumber03</vt:lpstr>
      <vt:lpstr>rD1.BrickNumber04</vt:lpstr>
      <vt:lpstr>rD1.BrickNumber05</vt:lpstr>
      <vt:lpstr>rD1.BrickNumber06</vt:lpstr>
      <vt:lpstr>rD1.BrickProducts01</vt:lpstr>
      <vt:lpstr>rD1.BrickProducts02</vt:lpstr>
      <vt:lpstr>rD1.BrickProducts03</vt:lpstr>
      <vt:lpstr>rD1.BrickProducts04</vt:lpstr>
      <vt:lpstr>rD1.BrickProducts05</vt:lpstr>
      <vt:lpstr>rD1.BrickProducts06</vt:lpstr>
      <vt:lpstr>rD1.Knoten01</vt:lpstr>
      <vt:lpstr>rD1.Knoten02</vt:lpstr>
      <vt:lpstr>rD1.Knoten03</vt:lpstr>
      <vt:lpstr>rD1.Knoten04</vt:lpstr>
      <vt:lpstr>rD1.Knoten05</vt:lpstr>
      <vt:lpstr>rD1.Knoten06</vt:lpstr>
      <vt:lpstr>rD1.Products</vt:lpstr>
      <vt:lpstr>rD3.Concrete</vt:lpstr>
      <vt:lpstr>rD3.ConcreteNumber</vt:lpstr>
      <vt:lpstr>rD3.Knoten</vt:lpstr>
      <vt:lpstr>rD4.DesignSitList</vt:lpstr>
      <vt:lpstr>rD4.Knoten05</vt:lpstr>
      <vt:lpstr>rD4.SafetyFactorDeadLoadList</vt:lpstr>
      <vt:lpstr>'Beispiel 1'!rF1.AufteilungMomenteWindSelection</vt:lpstr>
      <vt:lpstr>'Beispiel 2'!rF1.AufteilungMomenteWindSelection</vt:lpstr>
      <vt:lpstr>'Beispiel 3'!rF1.AufteilungMomenteWindSelection</vt:lpstr>
      <vt:lpstr>Berechnung!rF1.AufteilungMomenteWindSelection</vt:lpstr>
      <vt:lpstr>'Beispiel 1'!rF1.AxResistanceBottom</vt:lpstr>
      <vt:lpstr>'Beispiel 2'!rF1.AxResistanceBottom</vt:lpstr>
      <vt:lpstr>'Beispiel 3'!rF1.AxResistanceBottom</vt:lpstr>
      <vt:lpstr>Berechnung!rF1.AxResistanceBottom</vt:lpstr>
      <vt:lpstr>'Beispiel 1'!rF1.AxResistanceMiddle</vt:lpstr>
      <vt:lpstr>'Beispiel 2'!rF1.AxResistanceMiddle</vt:lpstr>
      <vt:lpstr>'Beispiel 3'!rF1.AxResistanceMiddle</vt:lpstr>
      <vt:lpstr>Berechnung!rF1.AxResistanceMiddle</vt:lpstr>
      <vt:lpstr>'Beispiel 1'!rF1.AxResistanceTop</vt:lpstr>
      <vt:lpstr>'Beispiel 2'!rF1.AxResistanceTop</vt:lpstr>
      <vt:lpstr>'Beispiel 3'!rF1.AxResistanceTop</vt:lpstr>
      <vt:lpstr>Berechnung!rF1.AxResistanceTop</vt:lpstr>
      <vt:lpstr>'Beispiel 1'!rF1.BearingDepthBottom</vt:lpstr>
      <vt:lpstr>'Beispiel 2'!rF1.BearingDepthBottom</vt:lpstr>
      <vt:lpstr>'Beispiel 3'!rF1.BearingDepthBottom</vt:lpstr>
      <vt:lpstr>Berechnung!rF1.BearingDepthBottom</vt:lpstr>
      <vt:lpstr>'Beispiel 1'!rF1.BearingDepthBottom02</vt:lpstr>
      <vt:lpstr>'Beispiel 2'!rF1.BearingDepthBottom02</vt:lpstr>
      <vt:lpstr>'Beispiel 3'!rF1.BearingDepthBottom02</vt:lpstr>
      <vt:lpstr>Berechnung!rF1.BearingDepthBottom02</vt:lpstr>
      <vt:lpstr>'Beispiel 1'!rF1.BearingDepthBottom03</vt:lpstr>
      <vt:lpstr>'Beispiel 2'!rF1.BearingDepthBottom03</vt:lpstr>
      <vt:lpstr>'Beispiel 3'!rF1.BearingDepthBottom03</vt:lpstr>
      <vt:lpstr>Berechnung!rF1.BearingDepthBottom03</vt:lpstr>
      <vt:lpstr>'Beispiel 1'!rF1.BearingDepthBottomRelated</vt:lpstr>
      <vt:lpstr>'Beispiel 2'!rF1.BearingDepthBottomRelated</vt:lpstr>
      <vt:lpstr>'Beispiel 3'!rF1.BearingDepthBottomRelated</vt:lpstr>
      <vt:lpstr>Berechnung!rF1.BearingDepthBottomRelated</vt:lpstr>
      <vt:lpstr>'Beispiel 1'!rF1.BearingDepthTop</vt:lpstr>
      <vt:lpstr>'Beispiel 2'!rF1.BearingDepthTop</vt:lpstr>
      <vt:lpstr>'Beispiel 3'!rF1.BearingDepthTop</vt:lpstr>
      <vt:lpstr>Berechnung!rF1.BearingDepthTop</vt:lpstr>
      <vt:lpstr>'Beispiel 1'!rF1.BearingDepthTop01</vt:lpstr>
      <vt:lpstr>'Beispiel 2'!rF1.BearingDepthTop01</vt:lpstr>
      <vt:lpstr>'Beispiel 3'!rF1.BearingDepthTop01</vt:lpstr>
      <vt:lpstr>Berechnung!rF1.BearingDepthTop01</vt:lpstr>
      <vt:lpstr>'Beispiel 1'!rF1.BearingDepthTop02</vt:lpstr>
      <vt:lpstr>'Beispiel 2'!rF1.BearingDepthTop02</vt:lpstr>
      <vt:lpstr>'Beispiel 3'!rF1.BearingDepthTop02</vt:lpstr>
      <vt:lpstr>Berechnung!rF1.BearingDepthTop02</vt:lpstr>
      <vt:lpstr>'Beispiel 1'!rF1.BearingDepthTopRelated</vt:lpstr>
      <vt:lpstr>'Beispiel 2'!rF1.BearingDepthTopRelated</vt:lpstr>
      <vt:lpstr>'Beispiel 3'!rF1.BearingDepthTopRelated</vt:lpstr>
      <vt:lpstr>Berechnung!rF1.BearingDepthTopRelated</vt:lpstr>
      <vt:lpstr>'Beispiel 1'!rF1.BendingMomentDecBottom</vt:lpstr>
      <vt:lpstr>'Beispiel 2'!rF1.BendingMomentDecBottom</vt:lpstr>
      <vt:lpstr>'Beispiel 3'!rF1.BendingMomentDecBottom</vt:lpstr>
      <vt:lpstr>Berechnung!rF1.BendingMomentDecBottom</vt:lpstr>
      <vt:lpstr>'Beispiel 1'!rF1.BendingMomentDecMiddle</vt:lpstr>
      <vt:lpstr>'Beispiel 2'!rF1.BendingMomentDecMiddle</vt:lpstr>
      <vt:lpstr>'Beispiel 3'!rF1.BendingMomentDecMiddle</vt:lpstr>
      <vt:lpstr>Berechnung!rF1.BendingMomentDecMiddle</vt:lpstr>
      <vt:lpstr>'Beispiel 1'!rF1.BendingMomentDecTop</vt:lpstr>
      <vt:lpstr>'Beispiel 2'!rF1.BendingMomentDecTop</vt:lpstr>
      <vt:lpstr>'Beispiel 3'!rF1.BendingMomentDecTop</vt:lpstr>
      <vt:lpstr>Berechnung!rF1.BendingMomentDecTop</vt:lpstr>
      <vt:lpstr>'Beispiel 1'!rF1.BrickHeight02</vt:lpstr>
      <vt:lpstr>'Beispiel 2'!rF1.BrickHeight02</vt:lpstr>
      <vt:lpstr>'Beispiel 3'!rF1.BrickHeight02</vt:lpstr>
      <vt:lpstr>Berechnung!rF1.BrickHeight02</vt:lpstr>
      <vt:lpstr>'Beispiel 1'!rF1.BrickHeightLenght</vt:lpstr>
      <vt:lpstr>'Beispiel 2'!rF1.BrickHeightLenght</vt:lpstr>
      <vt:lpstr>'Beispiel 3'!rF1.BrickHeightLenght</vt:lpstr>
      <vt:lpstr>Berechnung!rF1.BrickHeightLenght</vt:lpstr>
      <vt:lpstr>'Beispiel 1'!rF1.BrickLength02</vt:lpstr>
      <vt:lpstr>'Beispiel 2'!rF1.BrickLength02</vt:lpstr>
      <vt:lpstr>'Beispiel 3'!rF1.BrickLength02</vt:lpstr>
      <vt:lpstr>Berechnung!rF1.BrickLength02</vt:lpstr>
      <vt:lpstr>'Beispiel 1'!rF1.BrickListNumber</vt:lpstr>
      <vt:lpstr>'Beispiel 2'!rF1.BrickListNumber</vt:lpstr>
      <vt:lpstr>'Beispiel 3'!rF1.BrickListNumber</vt:lpstr>
      <vt:lpstr>Berechnung!rF1.BrickListNumber</vt:lpstr>
      <vt:lpstr>'Beispiel 1'!rF1.BrickListNumber01</vt:lpstr>
      <vt:lpstr>'Beispiel 2'!rF1.BrickListNumber01</vt:lpstr>
      <vt:lpstr>'Beispiel 3'!rF1.BrickListNumber01</vt:lpstr>
      <vt:lpstr>Berechnung!rF1.BrickListNumber01</vt:lpstr>
      <vt:lpstr>'Beispiel 1'!rF1.BrickListNumber02</vt:lpstr>
      <vt:lpstr>'Beispiel 2'!rF1.BrickListNumber02</vt:lpstr>
      <vt:lpstr>'Beispiel 3'!rF1.BrickListNumber02</vt:lpstr>
      <vt:lpstr>Berechnung!rF1.BrickListNumber02</vt:lpstr>
      <vt:lpstr>'Beispiel 1'!rF1.BrickListNumber03</vt:lpstr>
      <vt:lpstr>'Beispiel 2'!rF1.BrickListNumber03</vt:lpstr>
      <vt:lpstr>'Beispiel 3'!rF1.BrickListNumber03</vt:lpstr>
      <vt:lpstr>Berechnung!rF1.BrickListNumber03</vt:lpstr>
      <vt:lpstr>'Beispiel 1'!rF1.BrickProductSelection</vt:lpstr>
      <vt:lpstr>'Beispiel 2'!rF1.BrickProductSelection</vt:lpstr>
      <vt:lpstr>'Beispiel 3'!rF1.BrickProductSelection</vt:lpstr>
      <vt:lpstr>Berechnung!rF1.BrickProductSelection</vt:lpstr>
      <vt:lpstr>'Beispiel 1'!rF1.BrickProductSelection01</vt:lpstr>
      <vt:lpstr>'Beispiel 2'!rF1.BrickProductSelection01</vt:lpstr>
      <vt:lpstr>'Beispiel 3'!rF1.BrickProductSelection01</vt:lpstr>
      <vt:lpstr>Berechnung!rF1.BrickProductSelection01</vt:lpstr>
      <vt:lpstr>'Beispiel 1'!rF1.BrickProductSelection02</vt:lpstr>
      <vt:lpstr>'Beispiel 2'!rF1.BrickProductSelection02</vt:lpstr>
      <vt:lpstr>'Beispiel 3'!rF1.BrickProductSelection02</vt:lpstr>
      <vt:lpstr>Berechnung!rF1.BrickProductSelection02</vt:lpstr>
      <vt:lpstr>'Beispiel 1'!rF1.BrickProductSelection03</vt:lpstr>
      <vt:lpstr>'Beispiel 2'!rF1.BrickProductSelection03</vt:lpstr>
      <vt:lpstr>'Beispiel 3'!rF1.BrickProductSelection03</vt:lpstr>
      <vt:lpstr>Berechnung!rF1.BrickProductSelection03</vt:lpstr>
      <vt:lpstr>'Beispiel 1'!rF1.BrickStrenght</vt:lpstr>
      <vt:lpstr>'Beispiel 2'!rF1.BrickStrenght</vt:lpstr>
      <vt:lpstr>'Beispiel 3'!rF1.BrickStrenght</vt:lpstr>
      <vt:lpstr>Berechnung!rF1.BrickStrenght</vt:lpstr>
      <vt:lpstr>'Beispiel 1'!rF1.BrickStrenghtSelection</vt:lpstr>
      <vt:lpstr>'Beispiel 2'!rF1.BrickStrenghtSelection</vt:lpstr>
      <vt:lpstr>'Beispiel 3'!rF1.BrickStrenghtSelection</vt:lpstr>
      <vt:lpstr>Berechnung!rF1.BrickStrenghtSelection</vt:lpstr>
      <vt:lpstr>'Beispiel 1'!rF1.BrickStrenghtSelection01</vt:lpstr>
      <vt:lpstr>'Beispiel 2'!rF1.BrickStrenghtSelection01</vt:lpstr>
      <vt:lpstr>'Beispiel 3'!rF1.BrickStrenghtSelection01</vt:lpstr>
      <vt:lpstr>Berechnung!rF1.BrickStrenghtSelection01</vt:lpstr>
      <vt:lpstr>'Beispiel 1'!rF1.BrickStrenghtSelection02</vt:lpstr>
      <vt:lpstr>'Beispiel 2'!rF1.BrickStrenghtSelection02</vt:lpstr>
      <vt:lpstr>'Beispiel 3'!rF1.BrickStrenghtSelection02</vt:lpstr>
      <vt:lpstr>Berechnung!rF1.BrickStrenghtSelection02</vt:lpstr>
      <vt:lpstr>'Beispiel 1'!rF1.BrickStrenghtSelection03</vt:lpstr>
      <vt:lpstr>'Beispiel 2'!rF1.BrickStrenghtSelection03</vt:lpstr>
      <vt:lpstr>'Beispiel 3'!rF1.BrickStrenghtSelection03</vt:lpstr>
      <vt:lpstr>Berechnung!rF1.BrickStrenghtSelection03</vt:lpstr>
      <vt:lpstr>'Beispiel 1'!rF1.BucklingCoeffAlpha03</vt:lpstr>
      <vt:lpstr>'Beispiel 2'!rF1.BucklingCoeffAlpha03</vt:lpstr>
      <vt:lpstr>'Beispiel 3'!rF1.BucklingCoeffAlpha03</vt:lpstr>
      <vt:lpstr>Berechnung!rF1.BucklingCoeffAlpha03</vt:lpstr>
      <vt:lpstr>'Beispiel 1'!rF1.BucklingCoeffAlpha04</vt:lpstr>
      <vt:lpstr>'Beispiel 2'!rF1.BucklingCoeffAlpha04</vt:lpstr>
      <vt:lpstr>'Beispiel 3'!rF1.BucklingCoeffAlpha04</vt:lpstr>
      <vt:lpstr>Berechnung!rF1.BucklingCoeffAlpha04</vt:lpstr>
      <vt:lpstr>'Beispiel 1'!rF1.BucklingInterpolX1</vt:lpstr>
      <vt:lpstr>'Beispiel 2'!rF1.BucklingInterpolX1</vt:lpstr>
      <vt:lpstr>'Beispiel 3'!rF1.BucklingInterpolX1</vt:lpstr>
      <vt:lpstr>Berechnung!rF1.BucklingInterpolX1</vt:lpstr>
      <vt:lpstr>'Beispiel 1'!rF1.BucklingInterpolX2</vt:lpstr>
      <vt:lpstr>'Beispiel 2'!rF1.BucklingInterpolX2</vt:lpstr>
      <vt:lpstr>'Beispiel 3'!rF1.BucklingInterpolX2</vt:lpstr>
      <vt:lpstr>Berechnung!rF1.BucklingInterpolX2</vt:lpstr>
      <vt:lpstr>'Beispiel 1'!rF1.BucklingInterpolY1</vt:lpstr>
      <vt:lpstr>'Beispiel 2'!rF1.BucklingInterpolY1</vt:lpstr>
      <vt:lpstr>'Beispiel 3'!rF1.BucklingInterpolY1</vt:lpstr>
      <vt:lpstr>Berechnung!rF1.BucklingInterpolY1</vt:lpstr>
      <vt:lpstr>'Beispiel 1'!rF1.BucklingInterpolY2</vt:lpstr>
      <vt:lpstr>'Beispiel 2'!rF1.BucklingInterpolY2</vt:lpstr>
      <vt:lpstr>'Beispiel 3'!rF1.BucklingInterpolY2</vt:lpstr>
      <vt:lpstr>Berechnung!rF1.BucklingInterpolY2</vt:lpstr>
      <vt:lpstr>'Beispiel 1'!rF1.CalculatedStiffnessBottom03</vt:lpstr>
      <vt:lpstr>'Beispiel 2'!rF1.CalculatedStiffnessBottom03</vt:lpstr>
      <vt:lpstr>'Beispiel 3'!rF1.CalculatedStiffnessBottom03</vt:lpstr>
      <vt:lpstr>Berechnung!rF1.CalculatedStiffnessBottom03</vt:lpstr>
      <vt:lpstr>'Beispiel 1'!rF1.CalculatedStiffnessTop01</vt:lpstr>
      <vt:lpstr>'Beispiel 2'!rF1.CalculatedStiffnessTop01</vt:lpstr>
      <vt:lpstr>'Beispiel 3'!rF1.CalculatedStiffnessTop01</vt:lpstr>
      <vt:lpstr>Berechnung!rF1.CalculatedStiffnessTop01</vt:lpstr>
      <vt:lpstr>'Beispiel 1'!rF1.CheckAxForceCalculation</vt:lpstr>
      <vt:lpstr>'Beispiel 2'!rF1.CheckAxForceCalculation</vt:lpstr>
      <vt:lpstr>'Beispiel 3'!rF1.CheckAxForceCalculation</vt:lpstr>
      <vt:lpstr>Berechnung!rF1.CheckAxForceCalculation</vt:lpstr>
      <vt:lpstr>'Beispiel 1'!rF1.CheckBasePlate</vt:lpstr>
      <vt:lpstr>'Beispiel 2'!rF1.CheckBasePlate</vt:lpstr>
      <vt:lpstr>'Beispiel 3'!rF1.CheckBasePlate</vt:lpstr>
      <vt:lpstr>Berechnung!rF1.CheckBasePlate</vt:lpstr>
      <vt:lpstr>'Beispiel 1'!rF1.CheckBendingMomentSlabBottom</vt:lpstr>
      <vt:lpstr>'Beispiel 2'!rF1.CheckBendingMomentSlabBottom</vt:lpstr>
      <vt:lpstr>'Beispiel 3'!rF1.CheckBendingMomentSlabBottom</vt:lpstr>
      <vt:lpstr>Berechnung!rF1.CheckBendingMomentSlabBottom</vt:lpstr>
      <vt:lpstr>'Beispiel 1'!rF1.CheckBendingMomentSlabTop</vt:lpstr>
      <vt:lpstr>'Beispiel 2'!rF1.CheckBendingMomentSlabTop</vt:lpstr>
      <vt:lpstr>'Beispiel 3'!rF1.CheckBendingMomentSlabTop</vt:lpstr>
      <vt:lpstr>Berechnung!rF1.CheckBendingMomentSlabTop</vt:lpstr>
      <vt:lpstr>'Beispiel 1'!rF1.CheckCantilever03</vt:lpstr>
      <vt:lpstr>'Beispiel 2'!rF1.CheckCantilever03</vt:lpstr>
      <vt:lpstr>'Beispiel 3'!rF1.CheckCantilever03</vt:lpstr>
      <vt:lpstr>Berechnung!rF1.CheckCantilever03</vt:lpstr>
      <vt:lpstr>'Beispiel 1'!rF1.CheckCantilever04</vt:lpstr>
      <vt:lpstr>'Beispiel 2'!rF1.CheckCantilever04</vt:lpstr>
      <vt:lpstr>'Beispiel 3'!rF1.CheckCantilever04</vt:lpstr>
      <vt:lpstr>Berechnung!rF1.CheckCantilever04</vt:lpstr>
      <vt:lpstr>'Beispiel 1'!rF1.CheckConcreteWall</vt:lpstr>
      <vt:lpstr>'Beispiel 2'!rF1.CheckConcreteWall</vt:lpstr>
      <vt:lpstr>'Beispiel 3'!rF1.CheckConcreteWall</vt:lpstr>
      <vt:lpstr>Berechnung!rF1.CheckConcreteWall</vt:lpstr>
      <vt:lpstr>'Beispiel 1'!rF1.CheckFireResColumn</vt:lpstr>
      <vt:lpstr>'Beispiel 2'!rF1.CheckFireResColumn</vt:lpstr>
      <vt:lpstr>'Beispiel 3'!rF1.CheckFireResColumn</vt:lpstr>
      <vt:lpstr>Berechnung!rF1.CheckFireResColumn</vt:lpstr>
      <vt:lpstr>'Beispiel 1'!rF1.CheckFireResManual02</vt:lpstr>
      <vt:lpstr>'Beispiel 2'!rF1.CheckFireResManual02</vt:lpstr>
      <vt:lpstr>'Beispiel 3'!rF1.CheckFireResManual02</vt:lpstr>
      <vt:lpstr>Berechnung!rF1.CheckFireResManual02</vt:lpstr>
      <vt:lpstr>'Beispiel 1'!rF1.CheckFoundation</vt:lpstr>
      <vt:lpstr>'Beispiel 2'!rF1.CheckFoundation</vt:lpstr>
      <vt:lpstr>'Beispiel 3'!rF1.CheckFoundation</vt:lpstr>
      <vt:lpstr>Berechnung!rF1.CheckFoundation</vt:lpstr>
      <vt:lpstr>'Beispiel 1'!rF1.CheckShowDetails</vt:lpstr>
      <vt:lpstr>'Beispiel 2'!rF1.CheckShowDetails</vt:lpstr>
      <vt:lpstr>'Beispiel 3'!rF1.CheckShowDetails</vt:lpstr>
      <vt:lpstr>Berechnung!rF1.CheckShowDetails</vt:lpstr>
      <vt:lpstr>'Beispiel 1'!rF1.CheckSlabExisting03</vt:lpstr>
      <vt:lpstr>'Beispiel 2'!rF1.CheckSlabExisting03</vt:lpstr>
      <vt:lpstr>'Beispiel 3'!rF1.CheckSlabExisting03</vt:lpstr>
      <vt:lpstr>Berechnung!rF1.CheckSlabExisting03</vt:lpstr>
      <vt:lpstr>'Beispiel 1'!rF1.CheckSlabExisting04</vt:lpstr>
      <vt:lpstr>'Beispiel 2'!rF1.CheckSlabExisting04</vt:lpstr>
      <vt:lpstr>'Beispiel 3'!rF1.CheckSlabExisting04</vt:lpstr>
      <vt:lpstr>Berechnung!rF1.CheckSlabExisting04</vt:lpstr>
      <vt:lpstr>'Beispiel 1'!rF1.CheckWallNotExisting</vt:lpstr>
      <vt:lpstr>'Beispiel 2'!rF1.CheckWallNotExisting</vt:lpstr>
      <vt:lpstr>'Beispiel 3'!rF1.CheckWallNotExisting</vt:lpstr>
      <vt:lpstr>Berechnung!rF1.CheckWallNotExisting</vt:lpstr>
      <vt:lpstr>'Beispiel 1'!rF1.CheckWoodenSlab01</vt:lpstr>
      <vt:lpstr>'Beispiel 2'!rF1.CheckWoodenSlab01</vt:lpstr>
      <vt:lpstr>'Beispiel 3'!rF1.CheckWoodenSlab01</vt:lpstr>
      <vt:lpstr>Berechnung!rF1.CheckWoodenSlab01</vt:lpstr>
      <vt:lpstr>'Beispiel 1'!rF1.CheckWoodenSlab02</vt:lpstr>
      <vt:lpstr>'Beispiel 2'!rF1.CheckWoodenSlab02</vt:lpstr>
      <vt:lpstr>'Beispiel 3'!rF1.CheckWoodenSlab02</vt:lpstr>
      <vt:lpstr>Berechnung!rF1.CheckWoodenSlab02</vt:lpstr>
      <vt:lpstr>'Beispiel 1'!rF1.CheckWoodenSlab03</vt:lpstr>
      <vt:lpstr>'Beispiel 2'!rF1.CheckWoodenSlab03</vt:lpstr>
      <vt:lpstr>'Beispiel 3'!rF1.CheckWoodenSlab03</vt:lpstr>
      <vt:lpstr>Berechnung!rF1.CheckWoodenSlab03</vt:lpstr>
      <vt:lpstr>'Beispiel 1'!rF1.CheckWoodenSlab04</vt:lpstr>
      <vt:lpstr>'Beispiel 2'!rF1.CheckWoodenSlab04</vt:lpstr>
      <vt:lpstr>'Beispiel 3'!rF1.CheckWoodenSlab04</vt:lpstr>
      <vt:lpstr>Berechnung!rF1.CheckWoodenSlab04</vt:lpstr>
      <vt:lpstr>'Beispiel 1'!rF1.CheckWoodenSlabCalc</vt:lpstr>
      <vt:lpstr>'Beispiel 2'!rF1.CheckWoodenSlabCalc</vt:lpstr>
      <vt:lpstr>'Beispiel 3'!rF1.CheckWoodenSlabCalc</vt:lpstr>
      <vt:lpstr>Berechnung!rF1.CheckWoodenSlabCalc</vt:lpstr>
      <vt:lpstr>'Beispiel 1'!rF1.ColumnPlacementFactor</vt:lpstr>
      <vt:lpstr>'Beispiel 2'!rF1.ColumnPlacementFactor</vt:lpstr>
      <vt:lpstr>'Beispiel 3'!rF1.ColumnPlacementFactor</vt:lpstr>
      <vt:lpstr>Berechnung!rF1.ColumnPlacementFactor</vt:lpstr>
      <vt:lpstr>'Beispiel 1'!rF1.ConcreteElasticity</vt:lpstr>
      <vt:lpstr>'Beispiel 2'!rF1.ConcreteElasticity</vt:lpstr>
      <vt:lpstr>'Beispiel 3'!rF1.ConcreteElasticity</vt:lpstr>
      <vt:lpstr>Berechnung!rF1.ConcreteElasticity</vt:lpstr>
      <vt:lpstr>'Beispiel 1'!rF1.ConcreteFillSelection</vt:lpstr>
      <vt:lpstr>'Beispiel 2'!rF1.ConcreteFillSelection</vt:lpstr>
      <vt:lpstr>'Beispiel 3'!rF1.ConcreteFillSelection</vt:lpstr>
      <vt:lpstr>Berechnung!rF1.ConcreteFillSelection</vt:lpstr>
      <vt:lpstr>'Beispiel 1'!rF1.ConcreteFillSelection01</vt:lpstr>
      <vt:lpstr>'Beispiel 2'!rF1.ConcreteFillSelection01</vt:lpstr>
      <vt:lpstr>'Beispiel 3'!rF1.ConcreteFillSelection01</vt:lpstr>
      <vt:lpstr>Berechnung!rF1.ConcreteFillSelection01</vt:lpstr>
      <vt:lpstr>'Beispiel 1'!rF1.ConcreteFillSelection02</vt:lpstr>
      <vt:lpstr>'Beispiel 2'!rF1.ConcreteFillSelection02</vt:lpstr>
      <vt:lpstr>'Beispiel 3'!rF1.ConcreteFillSelection02</vt:lpstr>
      <vt:lpstr>Berechnung!rF1.ConcreteFillSelection02</vt:lpstr>
      <vt:lpstr>'Beispiel 1'!rF1.ConcreteFillSelection03</vt:lpstr>
      <vt:lpstr>'Beispiel 2'!rF1.ConcreteFillSelection03</vt:lpstr>
      <vt:lpstr>'Beispiel 3'!rF1.ConcreteFillSelection03</vt:lpstr>
      <vt:lpstr>Berechnung!rF1.ConcreteFillSelection03</vt:lpstr>
      <vt:lpstr>'Beispiel 1'!rF1.ConcreteSelection01</vt:lpstr>
      <vt:lpstr>'Beispiel 2'!rF1.ConcreteSelection01</vt:lpstr>
      <vt:lpstr>'Beispiel 3'!rF1.ConcreteSelection01</vt:lpstr>
      <vt:lpstr>Berechnung!rF1.ConcreteSelection01</vt:lpstr>
      <vt:lpstr>'Beispiel 1'!rF1.ConcreteSelection02</vt:lpstr>
      <vt:lpstr>'Beispiel 2'!rF1.ConcreteSelection02</vt:lpstr>
      <vt:lpstr>'Beispiel 3'!rF1.ConcreteSelection02</vt:lpstr>
      <vt:lpstr>Berechnung!rF1.ConcreteSelection02</vt:lpstr>
      <vt:lpstr>'Beispiel 1'!rF1.ConcreteSelection03</vt:lpstr>
      <vt:lpstr>'Beispiel 2'!rF1.ConcreteSelection03</vt:lpstr>
      <vt:lpstr>'Beispiel 3'!rF1.ConcreteSelection03</vt:lpstr>
      <vt:lpstr>Berechnung!rF1.ConcreteSelection03</vt:lpstr>
      <vt:lpstr>'Beispiel 1'!rF1.ConcreteSelection04</vt:lpstr>
      <vt:lpstr>'Beispiel 2'!rF1.ConcreteSelection04</vt:lpstr>
      <vt:lpstr>'Beispiel 3'!rF1.ConcreteSelection04</vt:lpstr>
      <vt:lpstr>Berechnung!rF1.ConcreteSelection04</vt:lpstr>
      <vt:lpstr>'Beispiel 1'!rF1.ConcreteTypeSelection</vt:lpstr>
      <vt:lpstr>'Beispiel 2'!rF1.ConcreteTypeSelection</vt:lpstr>
      <vt:lpstr>'Beispiel 3'!rF1.ConcreteTypeSelection</vt:lpstr>
      <vt:lpstr>Berechnung!rF1.ConcreteTypeSelection</vt:lpstr>
      <vt:lpstr>'Beispiel 1'!rF1.DeadLoadDesign</vt:lpstr>
      <vt:lpstr>'Beispiel 2'!rF1.DeadLoadDesign</vt:lpstr>
      <vt:lpstr>'Beispiel 3'!rF1.DeadLoadDesign</vt:lpstr>
      <vt:lpstr>Berechnung!rF1.DeadLoadDesign</vt:lpstr>
      <vt:lpstr>'Beispiel 1'!rF1.DesignLineDeadLoad</vt:lpstr>
      <vt:lpstr>'Beispiel 2'!rF1.DesignLineDeadLoad</vt:lpstr>
      <vt:lpstr>'Beispiel 3'!rF1.DesignLineDeadLoad</vt:lpstr>
      <vt:lpstr>Berechnung!rF1.DesignLineDeadLoad</vt:lpstr>
      <vt:lpstr>'Beispiel 1'!rF1.DesignLineLiveLoad</vt:lpstr>
      <vt:lpstr>'Beispiel 2'!rF1.DesignLineLiveLoad</vt:lpstr>
      <vt:lpstr>'Beispiel 3'!rF1.DesignLineLiveLoad</vt:lpstr>
      <vt:lpstr>Berechnung!rF1.DesignLineLiveLoad</vt:lpstr>
      <vt:lpstr>'Beispiel 1'!rF1.DesignSitSelection</vt:lpstr>
      <vt:lpstr>'Beispiel 2'!rF1.DesignSitSelection</vt:lpstr>
      <vt:lpstr>'Beispiel 3'!rF1.DesignSitSelection</vt:lpstr>
      <vt:lpstr>Berechnung!rF1.DesignSitSelection</vt:lpstr>
      <vt:lpstr>'Beispiel 1'!rF1.DesignTotalLineLoad</vt:lpstr>
      <vt:lpstr>'Beispiel 2'!rF1.DesignTotalLineLoad</vt:lpstr>
      <vt:lpstr>'Beispiel 3'!rF1.DesignTotalLineLoad</vt:lpstr>
      <vt:lpstr>Berechnung!rF1.DesignTotalLineLoad</vt:lpstr>
      <vt:lpstr>'Beispiel 1'!rF1.DistanceBottom</vt:lpstr>
      <vt:lpstr>'Beispiel 2'!rF1.DistanceBottom</vt:lpstr>
      <vt:lpstr>'Beispiel 3'!rF1.DistanceBottom</vt:lpstr>
      <vt:lpstr>Berechnung!rF1.DistanceBottom</vt:lpstr>
      <vt:lpstr>'Beispiel 1'!rF1.DistanceBottom02</vt:lpstr>
      <vt:lpstr>'Beispiel 2'!rF1.DistanceBottom02</vt:lpstr>
      <vt:lpstr>'Beispiel 3'!rF1.DistanceBottom02</vt:lpstr>
      <vt:lpstr>Berechnung!rF1.DistanceBottom02</vt:lpstr>
      <vt:lpstr>'Beispiel 1'!rF1.DistanceTop</vt:lpstr>
      <vt:lpstr>'Beispiel 2'!rF1.DistanceTop</vt:lpstr>
      <vt:lpstr>'Beispiel 3'!rF1.DistanceTop</vt:lpstr>
      <vt:lpstr>Berechnung!rF1.DistanceTop</vt:lpstr>
      <vt:lpstr>'Beispiel 1'!rF1.DistanceTop02</vt:lpstr>
      <vt:lpstr>'Beispiel 2'!rF1.DistanceTop02</vt:lpstr>
      <vt:lpstr>'Beispiel 3'!rF1.DistanceTop02</vt:lpstr>
      <vt:lpstr>Berechnung!rF1.DistanceTop02</vt:lpstr>
      <vt:lpstr>'Beispiel 1'!rF1.EccentricityBottomAC5</vt:lpstr>
      <vt:lpstr>'Beispiel 2'!rF1.EccentricityBottomAC5</vt:lpstr>
      <vt:lpstr>'Beispiel 3'!rF1.EccentricityBottomAC5</vt:lpstr>
      <vt:lpstr>Berechnung!rF1.EccentricityBottomAC5</vt:lpstr>
      <vt:lpstr>'Beispiel 1'!rF1.EccentricityBottomReg</vt:lpstr>
      <vt:lpstr>'Beispiel 2'!rF1.EccentricityBottomReg</vt:lpstr>
      <vt:lpstr>'Beispiel 3'!rF1.EccentricityBottomReg</vt:lpstr>
      <vt:lpstr>Berechnung!rF1.EccentricityBottomReg</vt:lpstr>
      <vt:lpstr>'Beispiel 1'!rF1.EccentricityCreepMiddle</vt:lpstr>
      <vt:lpstr>'Beispiel 2'!rF1.EccentricityCreepMiddle</vt:lpstr>
      <vt:lpstr>'Beispiel 3'!rF1.EccentricityCreepMiddle</vt:lpstr>
      <vt:lpstr>Berechnung!rF1.EccentricityCreepMiddle</vt:lpstr>
      <vt:lpstr>'Beispiel 1'!rF1.EccentricityFactor</vt:lpstr>
      <vt:lpstr>'Beispiel 2'!rF1.EccentricityFactor</vt:lpstr>
      <vt:lpstr>'Beispiel 3'!rF1.EccentricityFactor</vt:lpstr>
      <vt:lpstr>Berechnung!rF1.EccentricityFactor</vt:lpstr>
      <vt:lpstr>'Beispiel 1'!rF1.EccentricityGeoBottom</vt:lpstr>
      <vt:lpstr>'Beispiel 2'!rF1.EccentricityGeoBottom</vt:lpstr>
      <vt:lpstr>'Beispiel 3'!rF1.EccentricityGeoBottom</vt:lpstr>
      <vt:lpstr>Berechnung!rF1.EccentricityGeoBottom</vt:lpstr>
      <vt:lpstr>'Beispiel 1'!rF1.EccentricityGeoTop</vt:lpstr>
      <vt:lpstr>'Beispiel 2'!rF1.EccentricityGeoTop</vt:lpstr>
      <vt:lpstr>'Beispiel 3'!rF1.EccentricityGeoTop</vt:lpstr>
      <vt:lpstr>Berechnung!rF1.EccentricityGeoTop</vt:lpstr>
      <vt:lpstr>'Beispiel 1'!rF1.EccentricityInitialBottom</vt:lpstr>
      <vt:lpstr>'Beispiel 2'!rF1.EccentricityInitialBottom</vt:lpstr>
      <vt:lpstr>'Beispiel 3'!rF1.EccentricityInitialBottom</vt:lpstr>
      <vt:lpstr>Berechnung!rF1.EccentricityInitialBottom</vt:lpstr>
      <vt:lpstr>'Beispiel 1'!rF1.EccentricityInitialMiddle</vt:lpstr>
      <vt:lpstr>'Beispiel 2'!rF1.EccentricityInitialMiddle</vt:lpstr>
      <vt:lpstr>'Beispiel 3'!rF1.EccentricityInitialMiddle</vt:lpstr>
      <vt:lpstr>Berechnung!rF1.EccentricityInitialMiddle</vt:lpstr>
      <vt:lpstr>'Beispiel 1'!rF1.EccentricityInitialTop</vt:lpstr>
      <vt:lpstr>'Beispiel 2'!rF1.EccentricityInitialTop</vt:lpstr>
      <vt:lpstr>'Beispiel 3'!rF1.EccentricityInitialTop</vt:lpstr>
      <vt:lpstr>Berechnung!rF1.EccentricityInitialTop</vt:lpstr>
      <vt:lpstr>'Beispiel 1'!rF1.EccentricityLoadsMiddle</vt:lpstr>
      <vt:lpstr>'Beispiel 2'!rF1.EccentricityLoadsMiddle</vt:lpstr>
      <vt:lpstr>'Beispiel 3'!rF1.EccentricityLoadsMiddle</vt:lpstr>
      <vt:lpstr>Berechnung!rF1.EccentricityLoadsMiddle</vt:lpstr>
      <vt:lpstr>'Beispiel 1'!rF1.EccentricityShiftC5Bottom</vt:lpstr>
      <vt:lpstr>'Beispiel 2'!rF1.EccentricityShiftC5Bottom</vt:lpstr>
      <vt:lpstr>'Beispiel 3'!rF1.EccentricityShiftC5Bottom</vt:lpstr>
      <vt:lpstr>Berechnung!rF1.EccentricityShiftC5Bottom</vt:lpstr>
      <vt:lpstr>'Beispiel 1'!rF1.EccentricityShiftC5Middle</vt:lpstr>
      <vt:lpstr>'Beispiel 2'!rF1.EccentricityShiftC5Middle</vt:lpstr>
      <vt:lpstr>'Beispiel 3'!rF1.EccentricityShiftC5Middle</vt:lpstr>
      <vt:lpstr>Berechnung!rF1.EccentricityShiftC5Middle</vt:lpstr>
      <vt:lpstr>'Beispiel 1'!rF1.EccentricityShiftC5Top</vt:lpstr>
      <vt:lpstr>'Beispiel 2'!rF1.EccentricityShiftC5Top</vt:lpstr>
      <vt:lpstr>'Beispiel 3'!rF1.EccentricityShiftC5Top</vt:lpstr>
      <vt:lpstr>Berechnung!rF1.EccentricityShiftC5Top</vt:lpstr>
      <vt:lpstr>'Beispiel 1'!rF1.EccentricitySlabBottom</vt:lpstr>
      <vt:lpstr>'Beispiel 2'!rF1.EccentricitySlabBottom</vt:lpstr>
      <vt:lpstr>'Beispiel 3'!rF1.EccentricitySlabBottom</vt:lpstr>
      <vt:lpstr>Berechnung!rF1.EccentricitySlabBottom</vt:lpstr>
      <vt:lpstr>'Beispiel 1'!rF1.EccentricitySlabLoadBottom</vt:lpstr>
      <vt:lpstr>'Beispiel 2'!rF1.EccentricitySlabLoadBottom</vt:lpstr>
      <vt:lpstr>'Beispiel 3'!rF1.EccentricitySlabLoadBottom</vt:lpstr>
      <vt:lpstr>Berechnung!rF1.EccentricitySlabLoadBottom</vt:lpstr>
      <vt:lpstr>'Beispiel 1'!rF1.EccentricitySlabLoadTop</vt:lpstr>
      <vt:lpstr>'Beispiel 2'!rF1.EccentricitySlabLoadTop</vt:lpstr>
      <vt:lpstr>'Beispiel 3'!rF1.EccentricitySlabLoadTop</vt:lpstr>
      <vt:lpstr>Berechnung!rF1.EccentricitySlabLoadTop</vt:lpstr>
      <vt:lpstr>'Beispiel 1'!rF1.EccentricitySlabMiddle</vt:lpstr>
      <vt:lpstr>'Beispiel 2'!rF1.EccentricitySlabMiddle</vt:lpstr>
      <vt:lpstr>'Beispiel 3'!rF1.EccentricitySlabMiddle</vt:lpstr>
      <vt:lpstr>Berechnung!rF1.EccentricitySlabMiddle</vt:lpstr>
      <vt:lpstr>'Beispiel 1'!rF1.EccentricitySlabTop</vt:lpstr>
      <vt:lpstr>'Beispiel 2'!rF1.EccentricitySlabTop</vt:lpstr>
      <vt:lpstr>'Beispiel 3'!rF1.EccentricitySlabTop</vt:lpstr>
      <vt:lpstr>Berechnung!rF1.EccentricitySlabTop</vt:lpstr>
      <vt:lpstr>'Beispiel 1'!rF1.EccentricitySystemMiddle</vt:lpstr>
      <vt:lpstr>'Beispiel 2'!rF1.EccentricitySystemMiddle</vt:lpstr>
      <vt:lpstr>'Beispiel 3'!rF1.EccentricitySystemMiddle</vt:lpstr>
      <vt:lpstr>Berechnung!rF1.EccentricitySystemMiddle</vt:lpstr>
      <vt:lpstr>'Beispiel 1'!rF1.EccentricityTopAC5</vt:lpstr>
      <vt:lpstr>'Beispiel 2'!rF1.EccentricityTopAC5</vt:lpstr>
      <vt:lpstr>'Beispiel 3'!rF1.EccentricityTopAC5</vt:lpstr>
      <vt:lpstr>Berechnung!rF1.EccentricityTopAC5</vt:lpstr>
      <vt:lpstr>'Beispiel 1'!rF1.EccentricityTopReg</vt:lpstr>
      <vt:lpstr>'Beispiel 2'!rF1.EccentricityTopReg</vt:lpstr>
      <vt:lpstr>'Beispiel 3'!rF1.EccentricityTopReg</vt:lpstr>
      <vt:lpstr>Berechnung!rF1.EccentricityTopReg</vt:lpstr>
      <vt:lpstr>'Beispiel 1'!rF1.EccentricityTotalBottom</vt:lpstr>
      <vt:lpstr>'Beispiel 2'!rF1.EccentricityTotalBottom</vt:lpstr>
      <vt:lpstr>'Beispiel 3'!rF1.EccentricityTotalBottom</vt:lpstr>
      <vt:lpstr>Berechnung!rF1.EccentricityTotalBottom</vt:lpstr>
      <vt:lpstr>'Beispiel 1'!rF1.EccentricityTotalMiddle</vt:lpstr>
      <vt:lpstr>'Beispiel 2'!rF1.EccentricityTotalMiddle</vt:lpstr>
      <vt:lpstr>'Beispiel 3'!rF1.EccentricityTotalMiddle</vt:lpstr>
      <vt:lpstr>Berechnung!rF1.EccentricityTotalMiddle</vt:lpstr>
      <vt:lpstr>'Beispiel 1'!rF1.EccentricityTotalTop</vt:lpstr>
      <vt:lpstr>'Beispiel 2'!rF1.EccentricityTotalTop</vt:lpstr>
      <vt:lpstr>'Beispiel 3'!rF1.EccentricityTotalTop</vt:lpstr>
      <vt:lpstr>Berechnung!rF1.EccentricityTotalTop</vt:lpstr>
      <vt:lpstr>'Beispiel 1'!rF1.EccentricityWindBottom</vt:lpstr>
      <vt:lpstr>'Beispiel 2'!rF1.EccentricityWindBottom</vt:lpstr>
      <vt:lpstr>'Beispiel 3'!rF1.EccentricityWindBottom</vt:lpstr>
      <vt:lpstr>Berechnung!rF1.EccentricityWindBottom</vt:lpstr>
      <vt:lpstr>'Beispiel 1'!rF1.EccentricityWindMiddle</vt:lpstr>
      <vt:lpstr>'Beispiel 2'!rF1.EccentricityWindMiddle</vt:lpstr>
      <vt:lpstr>'Beispiel 3'!rF1.EccentricityWindMiddle</vt:lpstr>
      <vt:lpstr>Berechnung!rF1.EccentricityWindMiddle</vt:lpstr>
      <vt:lpstr>'Beispiel 1'!rF1.EccentricityWindTop</vt:lpstr>
      <vt:lpstr>'Beispiel 2'!rF1.EccentricityWindTop</vt:lpstr>
      <vt:lpstr>'Beispiel 3'!rF1.EccentricityWindTop</vt:lpstr>
      <vt:lpstr>Berechnung!rF1.EccentricityWindTop</vt:lpstr>
      <vt:lpstr>'Beispiel 1'!rF1.FireResClassSelection</vt:lpstr>
      <vt:lpstr>'Beispiel 2'!rF1.FireResClassSelection</vt:lpstr>
      <vt:lpstr>'Beispiel 3'!rF1.FireResClassSelection</vt:lpstr>
      <vt:lpstr>Berechnung!rF1.FireResClassSelection</vt:lpstr>
      <vt:lpstr>'Beispiel 1'!rF1.FireResistanceCoeff</vt:lpstr>
      <vt:lpstr>'Beispiel 2'!rF1.FireResistanceCoeff</vt:lpstr>
      <vt:lpstr>'Beispiel 3'!rF1.FireResistanceCoeff</vt:lpstr>
      <vt:lpstr>Berechnung!rF1.FireResistanceCoeff</vt:lpstr>
      <vt:lpstr>'Beispiel 1'!rF1.FireResNN</vt:lpstr>
      <vt:lpstr>'Beispiel 2'!rF1.FireResNN</vt:lpstr>
      <vt:lpstr>'Beispiel 3'!rF1.FireResNN</vt:lpstr>
      <vt:lpstr>Berechnung!rF1.FireResNN</vt:lpstr>
      <vt:lpstr>'Beispiel 1'!rF1.FixedVergesNumber</vt:lpstr>
      <vt:lpstr>'Beispiel 2'!rF1.FixedVergesNumber</vt:lpstr>
      <vt:lpstr>'Beispiel 3'!rF1.FixedVergesNumber</vt:lpstr>
      <vt:lpstr>Berechnung!rF1.FixedVergesNumber</vt:lpstr>
      <vt:lpstr>'Beispiel 1'!rF1.FixedVergesNumberSelection</vt:lpstr>
      <vt:lpstr>'Beispiel 2'!rF1.FixedVergesNumberSelection</vt:lpstr>
      <vt:lpstr>'Beispiel 3'!rF1.FixedVergesNumberSelection</vt:lpstr>
      <vt:lpstr>Berechnung!rF1.FixedVergesNumberSelection</vt:lpstr>
      <vt:lpstr>'Beispiel 1'!rF1.FixedVergesSelection</vt:lpstr>
      <vt:lpstr>'Beispiel 2'!rF1.FixedVergesSelection</vt:lpstr>
      <vt:lpstr>'Beispiel 3'!rF1.FixedVergesSelection</vt:lpstr>
      <vt:lpstr>Berechnung!rF1.FixedVergesSelection</vt:lpstr>
      <vt:lpstr>'Beispiel 1'!rF1.FixedVergesSelection01</vt:lpstr>
      <vt:lpstr>'Beispiel 2'!rF1.FixedVergesSelection01</vt:lpstr>
      <vt:lpstr>'Beispiel 3'!rF1.FixedVergesSelection01</vt:lpstr>
      <vt:lpstr>Berechnung!rF1.FixedVergesSelection01</vt:lpstr>
      <vt:lpstr>'Beispiel 1'!rF1.FixedVergesSelection02</vt:lpstr>
      <vt:lpstr>'Beispiel 2'!rF1.FixedVergesSelection02</vt:lpstr>
      <vt:lpstr>'Beispiel 3'!rF1.FixedVergesSelection02</vt:lpstr>
      <vt:lpstr>Berechnung!rF1.FixedVergesSelection02</vt:lpstr>
      <vt:lpstr>'Beispiel 1'!rF1.FixedVergesSelection03</vt:lpstr>
      <vt:lpstr>'Beispiel 2'!rF1.FixedVergesSelection03</vt:lpstr>
      <vt:lpstr>'Beispiel 3'!rF1.FixedVergesSelection03</vt:lpstr>
      <vt:lpstr>Berechnung!rF1.FixedVergesSelection03</vt:lpstr>
      <vt:lpstr>'Beispiel 1'!rF1.InertiaBottom</vt:lpstr>
      <vt:lpstr>'Beispiel 2'!rF1.InertiaBottom</vt:lpstr>
      <vt:lpstr>'Beispiel 3'!rF1.InertiaBottom</vt:lpstr>
      <vt:lpstr>Berechnung!rF1.InertiaBottom</vt:lpstr>
      <vt:lpstr>'Beispiel 1'!rF1.InertiaSlab</vt:lpstr>
      <vt:lpstr>'Beispiel 2'!rF1.InertiaSlab</vt:lpstr>
      <vt:lpstr>'Beispiel 3'!rF1.InertiaSlab</vt:lpstr>
      <vt:lpstr>Berechnung!rF1.InertiaSlab</vt:lpstr>
      <vt:lpstr>'Beispiel 1'!rF1.InertiaTop</vt:lpstr>
      <vt:lpstr>'Beispiel 2'!rF1.InertiaTop</vt:lpstr>
      <vt:lpstr>'Beispiel 3'!rF1.InertiaTop</vt:lpstr>
      <vt:lpstr>Berechnung!rF1.InertiaTop</vt:lpstr>
      <vt:lpstr>'Beispiel 1'!rF1.LiveLoadDesign</vt:lpstr>
      <vt:lpstr>'Beispiel 2'!rF1.LiveLoadDesign</vt:lpstr>
      <vt:lpstr>'Beispiel 3'!rF1.LiveLoadDesign</vt:lpstr>
      <vt:lpstr>Berechnung!rF1.LiveLoadDesign</vt:lpstr>
      <vt:lpstr>'Beispiel 1'!rF1.LoadFactorBottom</vt:lpstr>
      <vt:lpstr>'Beispiel 2'!rF1.LoadFactorBottom</vt:lpstr>
      <vt:lpstr>'Beispiel 3'!rF1.LoadFactorBottom</vt:lpstr>
      <vt:lpstr>Berechnung!rF1.LoadFactorBottom</vt:lpstr>
      <vt:lpstr>'Beispiel 1'!rF1.LoadFactorBottomFire</vt:lpstr>
      <vt:lpstr>'Beispiel 2'!rF1.LoadFactorBottomFire</vt:lpstr>
      <vt:lpstr>'Beispiel 3'!rF1.LoadFactorBottomFire</vt:lpstr>
      <vt:lpstr>Berechnung!rF1.LoadFactorBottomFire</vt:lpstr>
      <vt:lpstr>'Beispiel 1'!rF1.LoadFactorBottomFireMax</vt:lpstr>
      <vt:lpstr>'Beispiel 2'!rF1.LoadFactorBottomFireMax</vt:lpstr>
      <vt:lpstr>'Beispiel 3'!rF1.LoadFactorBottomFireMax</vt:lpstr>
      <vt:lpstr>Berechnung!rF1.LoadFactorBottomFireMax</vt:lpstr>
      <vt:lpstr>'Beispiel 1'!rF1.LoadFactorBottomFireReduced</vt:lpstr>
      <vt:lpstr>'Beispiel 2'!rF1.LoadFactorBottomFireReduced</vt:lpstr>
      <vt:lpstr>'Beispiel 3'!rF1.LoadFactorBottomFireReduced</vt:lpstr>
      <vt:lpstr>Berechnung!rF1.LoadFactorBottomFireReduced</vt:lpstr>
      <vt:lpstr>'Beispiel 1'!rF1.LoadFactorMiddle</vt:lpstr>
      <vt:lpstr>'Beispiel 2'!rF1.LoadFactorMiddle</vt:lpstr>
      <vt:lpstr>'Beispiel 3'!rF1.LoadFactorMiddle</vt:lpstr>
      <vt:lpstr>Berechnung!rF1.LoadFactorMiddle</vt:lpstr>
      <vt:lpstr>'Beispiel 1'!rF1.LoadFactorMiddleFire</vt:lpstr>
      <vt:lpstr>'Beispiel 2'!rF1.LoadFactorMiddleFire</vt:lpstr>
      <vt:lpstr>'Beispiel 3'!rF1.LoadFactorMiddleFire</vt:lpstr>
      <vt:lpstr>Berechnung!rF1.LoadFactorMiddleFire</vt:lpstr>
      <vt:lpstr>'Beispiel 1'!rF1.LoadFactorMiddleFireMax</vt:lpstr>
      <vt:lpstr>'Beispiel 2'!rF1.LoadFactorMiddleFireMax</vt:lpstr>
      <vt:lpstr>'Beispiel 3'!rF1.LoadFactorMiddleFireMax</vt:lpstr>
      <vt:lpstr>Berechnung!rF1.LoadFactorMiddleFireMax</vt:lpstr>
      <vt:lpstr>'Beispiel 1'!rF1.LoadFactorMiddleFireReduced</vt:lpstr>
      <vt:lpstr>'Beispiel 2'!rF1.LoadFactorMiddleFireReduced</vt:lpstr>
      <vt:lpstr>'Beispiel 3'!rF1.LoadFactorMiddleFireReduced</vt:lpstr>
      <vt:lpstr>Berechnung!rF1.LoadFactorMiddleFireReduced</vt:lpstr>
      <vt:lpstr>'Beispiel 1'!rF1.LoadFactorTop</vt:lpstr>
      <vt:lpstr>'Beispiel 2'!rF1.LoadFactorTop</vt:lpstr>
      <vt:lpstr>'Beispiel 3'!rF1.LoadFactorTop</vt:lpstr>
      <vt:lpstr>Berechnung!rF1.LoadFactorTop</vt:lpstr>
      <vt:lpstr>'Beispiel 1'!rF1.LoadFactorTopFire</vt:lpstr>
      <vt:lpstr>'Beispiel 2'!rF1.LoadFactorTopFire</vt:lpstr>
      <vt:lpstr>'Beispiel 3'!rF1.LoadFactorTopFire</vt:lpstr>
      <vt:lpstr>Berechnung!rF1.LoadFactorTopFire</vt:lpstr>
      <vt:lpstr>'Beispiel 1'!rF1.LoadFactorTopFireMax</vt:lpstr>
      <vt:lpstr>'Beispiel 2'!rF1.LoadFactorTopFireMax</vt:lpstr>
      <vt:lpstr>'Beispiel 3'!rF1.LoadFactorTopFireMax</vt:lpstr>
      <vt:lpstr>Berechnung!rF1.LoadFactorTopFireMax</vt:lpstr>
      <vt:lpstr>'Beispiel 1'!rF1.LoadFactorTopFireReduced</vt:lpstr>
      <vt:lpstr>'Beispiel 2'!rF1.LoadFactorTopFireReduced</vt:lpstr>
      <vt:lpstr>'Beispiel 3'!rF1.LoadFactorTopFireReduced</vt:lpstr>
      <vt:lpstr>Berechnung!rF1.LoadFactorTopFireReduced</vt:lpstr>
      <vt:lpstr>'Beispiel 1'!rF1.LoadStiffness01</vt:lpstr>
      <vt:lpstr>'Beispiel 2'!rF1.LoadStiffness01</vt:lpstr>
      <vt:lpstr>'Beispiel 3'!rF1.LoadStiffness01</vt:lpstr>
      <vt:lpstr>Berechnung!rF1.LoadStiffness01</vt:lpstr>
      <vt:lpstr>'Beispiel 1'!rF1.LoadStiffness02</vt:lpstr>
      <vt:lpstr>'Beispiel 2'!rF1.LoadStiffness02</vt:lpstr>
      <vt:lpstr>'Beispiel 3'!rF1.LoadStiffness02</vt:lpstr>
      <vt:lpstr>Berechnung!rF1.LoadStiffness02</vt:lpstr>
      <vt:lpstr>'Beispiel 1'!rF1.LoadStiffness03</vt:lpstr>
      <vt:lpstr>'Beispiel 2'!rF1.LoadStiffness03</vt:lpstr>
      <vt:lpstr>'Beispiel 3'!rF1.LoadStiffness03</vt:lpstr>
      <vt:lpstr>Berechnung!rF1.LoadStiffness03</vt:lpstr>
      <vt:lpstr>'Beispiel 1'!rF1.LoadStiffness04</vt:lpstr>
      <vt:lpstr>'Beispiel 2'!rF1.LoadStiffness04</vt:lpstr>
      <vt:lpstr>'Beispiel 3'!rF1.LoadStiffness04</vt:lpstr>
      <vt:lpstr>Berechnung!rF1.LoadStiffness04</vt:lpstr>
      <vt:lpstr>'Beispiel 1'!rF1.MainGroupSelection</vt:lpstr>
      <vt:lpstr>'Beispiel 2'!rF1.MainGroupSelection</vt:lpstr>
      <vt:lpstr>'Beispiel 3'!rF1.MainGroupSelection</vt:lpstr>
      <vt:lpstr>Berechnung!rF1.MainGroupSelection</vt:lpstr>
      <vt:lpstr>'Beispiel 1'!rF1.MainGroupSelection01</vt:lpstr>
      <vt:lpstr>'Beispiel 2'!rF1.MainGroupSelection01</vt:lpstr>
      <vt:lpstr>'Beispiel 3'!rF1.MainGroupSelection01</vt:lpstr>
      <vt:lpstr>Berechnung!rF1.MainGroupSelection01</vt:lpstr>
      <vt:lpstr>'Beispiel 1'!rF1.MainGroupSelection02</vt:lpstr>
      <vt:lpstr>'Beispiel 2'!rF1.MainGroupSelection02</vt:lpstr>
      <vt:lpstr>'Beispiel 3'!rF1.MainGroupSelection02</vt:lpstr>
      <vt:lpstr>Berechnung!rF1.MainGroupSelection02</vt:lpstr>
      <vt:lpstr>'Beispiel 1'!rF1.MainGroupSelection03</vt:lpstr>
      <vt:lpstr>'Beispiel 2'!rF1.MainGroupSelection03</vt:lpstr>
      <vt:lpstr>'Beispiel 3'!rF1.MainGroupSelection03</vt:lpstr>
      <vt:lpstr>Berechnung!rF1.MainGroupSelection03</vt:lpstr>
      <vt:lpstr>'Beispiel 1'!rF1.MasonryElasticity</vt:lpstr>
      <vt:lpstr>'Beispiel 2'!rF1.MasonryElasticity</vt:lpstr>
      <vt:lpstr>'Beispiel 3'!rF1.MasonryElasticity</vt:lpstr>
      <vt:lpstr>Berechnung!rF1.MasonryElasticity</vt:lpstr>
      <vt:lpstr>'Beispiel 1'!rF1.MasonryStiffnessFactor</vt:lpstr>
      <vt:lpstr>'Beispiel 2'!rF1.MasonryStiffnessFactor</vt:lpstr>
      <vt:lpstr>'Beispiel 3'!rF1.MasonryStiffnessFactor</vt:lpstr>
      <vt:lpstr>Berechnung!rF1.MasonryStiffnessFactor</vt:lpstr>
      <vt:lpstr>'Beispiel 1'!rF1.MasonryStrenghtChar</vt:lpstr>
      <vt:lpstr>'Beispiel 2'!rF1.MasonryStrenghtChar</vt:lpstr>
      <vt:lpstr>'Beispiel 3'!rF1.MasonryStrenghtChar</vt:lpstr>
      <vt:lpstr>Berechnung!rF1.MasonryStrenghtChar</vt:lpstr>
      <vt:lpstr>'Beispiel 1'!rF1.MasonryStrenghtChar01</vt:lpstr>
      <vt:lpstr>'Beispiel 2'!rF1.MasonryStrenghtChar01</vt:lpstr>
      <vt:lpstr>'Beispiel 3'!rF1.MasonryStrenghtChar01</vt:lpstr>
      <vt:lpstr>Berechnung!rF1.MasonryStrenghtChar01</vt:lpstr>
      <vt:lpstr>'Beispiel 1'!rF1.MasonryStrenghtChar02</vt:lpstr>
      <vt:lpstr>'Beispiel 2'!rF1.MasonryStrenghtChar02</vt:lpstr>
      <vt:lpstr>'Beispiel 3'!rF1.MasonryStrenghtChar02</vt:lpstr>
      <vt:lpstr>Berechnung!rF1.MasonryStrenghtChar02</vt:lpstr>
      <vt:lpstr>'Beispiel 1'!rF1.MasonryStrenghtChar03</vt:lpstr>
      <vt:lpstr>'Beispiel 2'!rF1.MasonryStrenghtChar03</vt:lpstr>
      <vt:lpstr>'Beispiel 3'!rF1.MasonryStrenghtChar03</vt:lpstr>
      <vt:lpstr>Berechnung!rF1.MasonryStrenghtChar03</vt:lpstr>
      <vt:lpstr>'Beispiel 1'!rF1.MaxBearingDepthBottom02</vt:lpstr>
      <vt:lpstr>'Beispiel 2'!rF1.MaxBearingDepthBottom02</vt:lpstr>
      <vt:lpstr>'Beispiel 3'!rF1.MaxBearingDepthBottom02</vt:lpstr>
      <vt:lpstr>Berechnung!rF1.MaxBearingDepthBottom02</vt:lpstr>
      <vt:lpstr>'Beispiel 1'!rF1.MaxBearingDepthBottom03</vt:lpstr>
      <vt:lpstr>'Beispiel 2'!rF1.MaxBearingDepthBottom03</vt:lpstr>
      <vt:lpstr>'Beispiel 3'!rF1.MaxBearingDepthBottom03</vt:lpstr>
      <vt:lpstr>Berechnung!rF1.MaxBearingDepthBottom03</vt:lpstr>
      <vt:lpstr>'Beispiel 1'!rF1.MaxBearingDepthTop01</vt:lpstr>
      <vt:lpstr>'Beispiel 2'!rF1.MaxBearingDepthTop01</vt:lpstr>
      <vt:lpstr>'Beispiel 3'!rF1.MaxBearingDepthTop01</vt:lpstr>
      <vt:lpstr>Berechnung!rF1.MaxBearingDepthTop01</vt:lpstr>
      <vt:lpstr>'Beispiel 1'!rF1.MaxBearingDepthTop02</vt:lpstr>
      <vt:lpstr>'Beispiel 2'!rF1.MaxBearingDepthTop02</vt:lpstr>
      <vt:lpstr>'Beispiel 3'!rF1.MaxBearingDepthTop02</vt:lpstr>
      <vt:lpstr>Berechnung!rF1.MaxBearingDepthTop02</vt:lpstr>
      <vt:lpstr>'Beispiel 1'!rF1.MaximumDistanceLineLoad01</vt:lpstr>
      <vt:lpstr>'Beispiel 2'!rF1.MaximumDistanceLineLoad01</vt:lpstr>
      <vt:lpstr>'Beispiel 3'!rF1.MaximumDistanceLineLoad01</vt:lpstr>
      <vt:lpstr>Berechnung!rF1.MaximumDistanceLineLoad01</vt:lpstr>
      <vt:lpstr>'Beispiel 1'!rF1.MaximumDistanceLineLoad02</vt:lpstr>
      <vt:lpstr>'Beispiel 2'!rF1.MaximumDistanceLineLoad02</vt:lpstr>
      <vt:lpstr>'Beispiel 3'!rF1.MaximumDistanceLineLoad02</vt:lpstr>
      <vt:lpstr>Berechnung!rF1.MaximumDistanceLineLoad02</vt:lpstr>
      <vt:lpstr>'Beispiel 1'!rF1.MaximumDistanceLineLoad03</vt:lpstr>
      <vt:lpstr>'Beispiel 2'!rF1.MaximumDistanceLineLoad03</vt:lpstr>
      <vt:lpstr>'Beispiel 3'!rF1.MaximumDistanceLineLoad03</vt:lpstr>
      <vt:lpstr>Berechnung!rF1.MaximumDistanceLineLoad03</vt:lpstr>
      <vt:lpstr>'Beispiel 1'!rF1.MaximumDistanceLineLoad04</vt:lpstr>
      <vt:lpstr>'Beispiel 2'!rF1.MaximumDistanceLineLoad04</vt:lpstr>
      <vt:lpstr>'Beispiel 3'!rF1.MaximumDistanceLineLoad04</vt:lpstr>
      <vt:lpstr>Berechnung!rF1.MaximumDistanceLineLoad04</vt:lpstr>
      <vt:lpstr>'Beispiel 1'!rF1.MinBearingDepthBottom02</vt:lpstr>
      <vt:lpstr>'Beispiel 2'!rF1.MinBearingDepthBottom02</vt:lpstr>
      <vt:lpstr>'Beispiel 3'!rF1.MinBearingDepthBottom02</vt:lpstr>
      <vt:lpstr>Berechnung!rF1.MinBearingDepthBottom02</vt:lpstr>
      <vt:lpstr>'Beispiel 1'!rF1.MinBearingDepthBottom03</vt:lpstr>
      <vt:lpstr>'Beispiel 2'!rF1.MinBearingDepthBottom03</vt:lpstr>
      <vt:lpstr>'Beispiel 3'!rF1.MinBearingDepthBottom03</vt:lpstr>
      <vt:lpstr>Berechnung!rF1.MinBearingDepthBottom03</vt:lpstr>
      <vt:lpstr>'Beispiel 1'!rF1.MinBearingDepthTop01</vt:lpstr>
      <vt:lpstr>'Beispiel 2'!rF1.MinBearingDepthTop01</vt:lpstr>
      <vt:lpstr>'Beispiel 3'!rF1.MinBearingDepthTop01</vt:lpstr>
      <vt:lpstr>Berechnung!rF1.MinBearingDepthTop01</vt:lpstr>
      <vt:lpstr>'Beispiel 1'!rF1.MinBearingDepthTop02</vt:lpstr>
      <vt:lpstr>'Beispiel 2'!rF1.MinBearingDepthTop02</vt:lpstr>
      <vt:lpstr>'Beispiel 3'!rF1.MinBearingDepthTop02</vt:lpstr>
      <vt:lpstr>Berechnung!rF1.MinBearingDepthTop02</vt:lpstr>
      <vt:lpstr>'Beispiel 1'!rF1.MinInfluenceWidth01</vt:lpstr>
      <vt:lpstr>'Beispiel 2'!rF1.MinInfluenceWidth01</vt:lpstr>
      <vt:lpstr>'Beispiel 3'!rF1.MinInfluenceWidth01</vt:lpstr>
      <vt:lpstr>Berechnung!rF1.MinInfluenceWidth01</vt:lpstr>
      <vt:lpstr>'Beispiel 1'!rF1.MinInfluenceWidth02</vt:lpstr>
      <vt:lpstr>'Beispiel 2'!rF1.MinInfluenceWidth02</vt:lpstr>
      <vt:lpstr>'Beispiel 3'!rF1.MinInfluenceWidth02</vt:lpstr>
      <vt:lpstr>Berechnung!rF1.MinInfluenceWidth02</vt:lpstr>
      <vt:lpstr>'Beispiel 1'!rF1.MomentReductionBottom</vt:lpstr>
      <vt:lpstr>'Beispiel 2'!rF1.MomentReductionBottom</vt:lpstr>
      <vt:lpstr>'Beispiel 3'!rF1.MomentReductionBottom</vt:lpstr>
      <vt:lpstr>Berechnung!rF1.MomentReductionBottom</vt:lpstr>
      <vt:lpstr>'Beispiel 1'!rF1.MomentReductionTop</vt:lpstr>
      <vt:lpstr>'Beispiel 2'!rF1.MomentReductionTop</vt:lpstr>
      <vt:lpstr>'Beispiel 3'!rF1.MomentReductionTop</vt:lpstr>
      <vt:lpstr>Berechnung!rF1.MomentReductionTop</vt:lpstr>
      <vt:lpstr>'Beispiel 1'!rF1.MomentWindBottom</vt:lpstr>
      <vt:lpstr>'Beispiel 2'!rF1.MomentWindBottom</vt:lpstr>
      <vt:lpstr>'Beispiel 3'!rF1.MomentWindBottom</vt:lpstr>
      <vt:lpstr>Berechnung!rF1.MomentWindBottom</vt:lpstr>
      <vt:lpstr>'Beispiel 1'!rF1.MomentWindMiddle</vt:lpstr>
      <vt:lpstr>'Beispiel 2'!rF1.MomentWindMiddle</vt:lpstr>
      <vt:lpstr>'Beispiel 3'!rF1.MomentWindMiddle</vt:lpstr>
      <vt:lpstr>Berechnung!rF1.MomentWindMiddle</vt:lpstr>
      <vt:lpstr>'Beispiel 1'!rF1.MomentWindTop</vt:lpstr>
      <vt:lpstr>'Beispiel 2'!rF1.MomentWindTop</vt:lpstr>
      <vt:lpstr>'Beispiel 3'!rF1.MomentWindTop</vt:lpstr>
      <vt:lpstr>Berechnung!rF1.MomentWindTop</vt:lpstr>
      <vt:lpstr>'Beispiel 1'!rF1.MortarProductSelection</vt:lpstr>
      <vt:lpstr>'Beispiel 2'!rF1.MortarProductSelection</vt:lpstr>
      <vt:lpstr>'Beispiel 3'!rF1.MortarProductSelection</vt:lpstr>
      <vt:lpstr>Berechnung!rF1.MortarProductSelection</vt:lpstr>
      <vt:lpstr>'Beispiel 1'!rF1.MortarSelection01</vt:lpstr>
      <vt:lpstr>'Beispiel 2'!rF1.MortarSelection01</vt:lpstr>
      <vt:lpstr>'Beispiel 3'!rF1.MortarSelection01</vt:lpstr>
      <vt:lpstr>Berechnung!rF1.MortarSelection01</vt:lpstr>
      <vt:lpstr>'Beispiel 1'!rF1.MortarSelection02</vt:lpstr>
      <vt:lpstr>'Beispiel 2'!rF1.MortarSelection02</vt:lpstr>
      <vt:lpstr>'Beispiel 3'!rF1.MortarSelection02</vt:lpstr>
      <vt:lpstr>Berechnung!rF1.MortarSelection02</vt:lpstr>
      <vt:lpstr>'Beispiel 1'!rF1.MortarSelection03</vt:lpstr>
      <vt:lpstr>'Beispiel 2'!rF1.MortarSelection03</vt:lpstr>
      <vt:lpstr>'Beispiel 3'!rF1.MortarSelection03</vt:lpstr>
      <vt:lpstr>Berechnung!rF1.MortarSelection03</vt:lpstr>
      <vt:lpstr>'Beispiel 1'!rF1.OverlappingSelection</vt:lpstr>
      <vt:lpstr>'Beispiel 2'!rF1.OverlappingSelection</vt:lpstr>
      <vt:lpstr>'Beispiel 3'!rF1.OverlappingSelection</vt:lpstr>
      <vt:lpstr>Berechnung!rF1.OverlappingSelection</vt:lpstr>
      <vt:lpstr>'Beispiel 1'!rF1.PerforationFactor</vt:lpstr>
      <vt:lpstr>'Beispiel 2'!rF1.PerforationFactor</vt:lpstr>
      <vt:lpstr>'Beispiel 3'!rF1.PerforationFactor</vt:lpstr>
      <vt:lpstr>Berechnung!rF1.PerforationFactor</vt:lpstr>
      <vt:lpstr>'Beispiel 1'!rF1.PlotAxForceBottom</vt:lpstr>
      <vt:lpstr>'Beispiel 2'!rF1.PlotAxForceBottom</vt:lpstr>
      <vt:lpstr>'Beispiel 3'!rF1.PlotAxForceBottom</vt:lpstr>
      <vt:lpstr>Berechnung!rF1.PlotAxForceBottom</vt:lpstr>
      <vt:lpstr>'Beispiel 1'!rF1.PlotAxForceFactor</vt:lpstr>
      <vt:lpstr>'Beispiel 2'!rF1.PlotAxForceFactor</vt:lpstr>
      <vt:lpstr>'Beispiel 3'!rF1.PlotAxForceFactor</vt:lpstr>
      <vt:lpstr>Berechnung!rF1.PlotAxForceFactor</vt:lpstr>
      <vt:lpstr>'Beispiel 1'!rF1.PlotAxForceMiddle</vt:lpstr>
      <vt:lpstr>'Beispiel 2'!rF1.PlotAxForceMiddle</vt:lpstr>
      <vt:lpstr>'Beispiel 3'!rF1.PlotAxForceMiddle</vt:lpstr>
      <vt:lpstr>Berechnung!rF1.PlotAxForceMiddle</vt:lpstr>
      <vt:lpstr>'Beispiel 1'!rF1.PlotAxForceTop</vt:lpstr>
      <vt:lpstr>'Beispiel 2'!rF1.PlotAxForceTop</vt:lpstr>
      <vt:lpstr>'Beispiel 3'!rF1.PlotAxForceTop</vt:lpstr>
      <vt:lpstr>Berechnung!rF1.PlotAxForceTop</vt:lpstr>
      <vt:lpstr>'Beispiel 1'!rF1.PlotAxResistanceMaxBottom</vt:lpstr>
      <vt:lpstr>'Beispiel 2'!rF1.PlotAxResistanceMaxBottom</vt:lpstr>
      <vt:lpstr>'Beispiel 3'!rF1.PlotAxResistanceMaxBottom</vt:lpstr>
      <vt:lpstr>Berechnung!rF1.PlotAxResistanceMaxBottom</vt:lpstr>
      <vt:lpstr>'Beispiel 1'!rF1.PlotAxResistanceMaxTop</vt:lpstr>
      <vt:lpstr>'Beispiel 2'!rF1.PlotAxResistanceMaxTop</vt:lpstr>
      <vt:lpstr>'Beispiel 3'!rF1.PlotAxResistanceMaxTop</vt:lpstr>
      <vt:lpstr>Berechnung!rF1.PlotAxResistanceMaxTop</vt:lpstr>
      <vt:lpstr>'Beispiel 1'!rF1.PlotExcentricityBottom</vt:lpstr>
      <vt:lpstr>'Beispiel 2'!rF1.PlotExcentricityBottom</vt:lpstr>
      <vt:lpstr>'Beispiel 3'!rF1.PlotExcentricityBottom</vt:lpstr>
      <vt:lpstr>Berechnung!rF1.PlotExcentricityBottom</vt:lpstr>
      <vt:lpstr>'Beispiel 1'!rF1.PlotExcentricityCreepMiddle</vt:lpstr>
      <vt:lpstr>'Beispiel 2'!rF1.PlotExcentricityCreepMiddle</vt:lpstr>
      <vt:lpstr>'Beispiel 3'!rF1.PlotExcentricityCreepMiddle</vt:lpstr>
      <vt:lpstr>Berechnung!rF1.PlotExcentricityCreepMiddle</vt:lpstr>
      <vt:lpstr>'Beispiel 1'!rF1.PlotExcentricityLoadMax</vt:lpstr>
      <vt:lpstr>'Beispiel 2'!rF1.PlotExcentricityLoadMax</vt:lpstr>
      <vt:lpstr>'Beispiel 3'!rF1.PlotExcentricityLoadMax</vt:lpstr>
      <vt:lpstr>Berechnung!rF1.PlotExcentricityLoadMax</vt:lpstr>
      <vt:lpstr>'Beispiel 1'!rF1.PlotExcentricityLoadMiddle</vt:lpstr>
      <vt:lpstr>'Beispiel 2'!rF1.PlotExcentricityLoadMiddle</vt:lpstr>
      <vt:lpstr>'Beispiel 3'!rF1.PlotExcentricityLoadMiddle</vt:lpstr>
      <vt:lpstr>Berechnung!rF1.PlotExcentricityLoadMiddle</vt:lpstr>
      <vt:lpstr>'Beispiel 1'!rF1.PlotExcentricityTop</vt:lpstr>
      <vt:lpstr>'Beispiel 2'!rF1.PlotExcentricityTop</vt:lpstr>
      <vt:lpstr>'Beispiel 3'!rF1.PlotExcentricityTop</vt:lpstr>
      <vt:lpstr>Berechnung!rF1.PlotExcentricityTop</vt:lpstr>
      <vt:lpstr>'Beispiel 1'!rF1.PlotExcentricityTotalMiddle</vt:lpstr>
      <vt:lpstr>'Beispiel 2'!rF1.PlotExcentricityTotalMiddle</vt:lpstr>
      <vt:lpstr>'Beispiel 3'!rF1.PlotExcentricityTotalMiddle</vt:lpstr>
      <vt:lpstr>Berechnung!rF1.PlotExcentricityTotalMiddle</vt:lpstr>
      <vt:lpstr>'Beispiel 1'!rF1.PlotFactorLineLoad</vt:lpstr>
      <vt:lpstr>'Beispiel 2'!rF1.PlotFactorLineLoad</vt:lpstr>
      <vt:lpstr>'Beispiel 3'!rF1.PlotFactorLineLoad</vt:lpstr>
      <vt:lpstr>Berechnung!rF1.PlotFactorLineLoad</vt:lpstr>
      <vt:lpstr>'Beispiel 1'!rF1.PlotFoundationHeight</vt:lpstr>
      <vt:lpstr>'Beispiel 2'!rF1.PlotFoundationHeight</vt:lpstr>
      <vt:lpstr>'Beispiel 3'!rF1.PlotFoundationHeight</vt:lpstr>
      <vt:lpstr>Berechnung!rF1.PlotFoundationHeight</vt:lpstr>
      <vt:lpstr>'Beispiel 1'!rF1.PlotFoundationWidth</vt:lpstr>
      <vt:lpstr>'Beispiel 2'!rF1.PlotFoundationWidth</vt:lpstr>
      <vt:lpstr>'Beispiel 3'!rF1.PlotFoundationWidth</vt:lpstr>
      <vt:lpstr>Berechnung!rF1.PlotFoundationWidth</vt:lpstr>
      <vt:lpstr>'Beispiel 1'!rF1.PlotHeightDotsWind</vt:lpstr>
      <vt:lpstr>'Beispiel 2'!rF1.PlotHeightDotsWind</vt:lpstr>
      <vt:lpstr>'Beispiel 3'!rF1.PlotHeightDotsWind</vt:lpstr>
      <vt:lpstr>Berechnung!rF1.PlotHeightDotsWind</vt:lpstr>
      <vt:lpstr>'Beispiel 1'!rF1.PlotHeightFirstFloor</vt:lpstr>
      <vt:lpstr>'Beispiel 2'!rF1.PlotHeightFirstFloor</vt:lpstr>
      <vt:lpstr>'Beispiel 3'!rF1.PlotHeightFirstFloor</vt:lpstr>
      <vt:lpstr>Berechnung!rF1.PlotHeightFirstFloor</vt:lpstr>
      <vt:lpstr>'Beispiel 1'!rF1.PlotMomentDotsWind</vt:lpstr>
      <vt:lpstr>'Beispiel 2'!rF1.PlotMomentDotsWind</vt:lpstr>
      <vt:lpstr>'Beispiel 3'!rF1.PlotMomentDotsWind</vt:lpstr>
      <vt:lpstr>Berechnung!rF1.PlotMomentDotsWind</vt:lpstr>
      <vt:lpstr>'Beispiel 1'!rF1.PlotOutlineFactor01</vt:lpstr>
      <vt:lpstr>'Beispiel 2'!rF1.PlotOutlineFactor01</vt:lpstr>
      <vt:lpstr>'Beispiel 3'!rF1.PlotOutlineFactor01</vt:lpstr>
      <vt:lpstr>Berechnung!rF1.PlotOutlineFactor01</vt:lpstr>
      <vt:lpstr>'Beispiel 1'!rF1.PlotOutlineFactor02</vt:lpstr>
      <vt:lpstr>'Beispiel 2'!rF1.PlotOutlineFactor02</vt:lpstr>
      <vt:lpstr>'Beispiel 3'!rF1.PlotOutlineFactor02</vt:lpstr>
      <vt:lpstr>Berechnung!rF1.PlotOutlineFactor02</vt:lpstr>
      <vt:lpstr>'Beispiel 1'!rF1.PlotOutlineFactor03</vt:lpstr>
      <vt:lpstr>'Beispiel 2'!rF1.PlotOutlineFactor03</vt:lpstr>
      <vt:lpstr>'Beispiel 3'!rF1.PlotOutlineFactor03</vt:lpstr>
      <vt:lpstr>Berechnung!rF1.PlotOutlineFactor03</vt:lpstr>
      <vt:lpstr>'Beispiel 1'!rF1.PlotPoints01</vt:lpstr>
      <vt:lpstr>'Beispiel 2'!rF1.PlotPoints01</vt:lpstr>
      <vt:lpstr>'Beispiel 3'!rF1.PlotPoints01</vt:lpstr>
      <vt:lpstr>Berechnung!rF1.PlotPoints01</vt:lpstr>
      <vt:lpstr>'Beispiel 1'!rF1.PlotPoints02</vt:lpstr>
      <vt:lpstr>'Beispiel 2'!rF1.PlotPoints02</vt:lpstr>
      <vt:lpstr>'Beispiel 3'!rF1.PlotPoints02</vt:lpstr>
      <vt:lpstr>Berechnung!rF1.PlotPoints02</vt:lpstr>
      <vt:lpstr>'Beispiel 1'!rF1.PlotRangeFull</vt:lpstr>
      <vt:lpstr>'Beispiel 2'!rF1.PlotRangeFull</vt:lpstr>
      <vt:lpstr>'Beispiel 3'!rF1.PlotRangeFull</vt:lpstr>
      <vt:lpstr>Berechnung!rF1.PlotRangeFull</vt:lpstr>
      <vt:lpstr>'Beispiel 1'!rF1.PlotRangeShort</vt:lpstr>
      <vt:lpstr>'Beispiel 2'!rF1.PlotRangeShort</vt:lpstr>
      <vt:lpstr>'Beispiel 3'!rF1.PlotRangeShort</vt:lpstr>
      <vt:lpstr>Berechnung!rF1.PlotRangeShort</vt:lpstr>
      <vt:lpstr>'Beispiel 1'!rF1.PlotReductionParameterMiddle</vt:lpstr>
      <vt:lpstr>'Beispiel 2'!rF1.PlotReductionParameterMiddle</vt:lpstr>
      <vt:lpstr>'Beispiel 3'!rF1.PlotReductionParameterMiddle</vt:lpstr>
      <vt:lpstr>Berechnung!rF1.PlotReductionParameterMiddle</vt:lpstr>
      <vt:lpstr>'Beispiel 1'!rF1.PlotWallThicknessNettoBottom</vt:lpstr>
      <vt:lpstr>'Beispiel 2'!rF1.PlotWallThicknessNettoBottom</vt:lpstr>
      <vt:lpstr>'Beispiel 3'!rF1.PlotWallThicknessNettoBottom</vt:lpstr>
      <vt:lpstr>Berechnung!rF1.PlotWallThicknessNettoBottom</vt:lpstr>
      <vt:lpstr>'Beispiel 1'!rF1.PlotWallThicknessNettoTop</vt:lpstr>
      <vt:lpstr>'Beispiel 2'!rF1.PlotWallThicknessNettoTop</vt:lpstr>
      <vt:lpstr>'Beispiel 3'!rF1.PlotWallThicknessNettoTop</vt:lpstr>
      <vt:lpstr>Berechnung!rF1.PlotWallThicknessNettoTop</vt:lpstr>
      <vt:lpstr>'Beispiel 1'!rF1.PositioningLineLoad</vt:lpstr>
      <vt:lpstr>'Beispiel 2'!rF1.PositioningLineLoad</vt:lpstr>
      <vt:lpstr>'Beispiel 3'!rF1.PositioningLineLoad</vt:lpstr>
      <vt:lpstr>Berechnung!rF1.PositioningLineLoad</vt:lpstr>
      <vt:lpstr>'Beispiel 1'!rF1.RatioLengthThick02</vt:lpstr>
      <vt:lpstr>'Beispiel 2'!rF1.RatioLengthThick02</vt:lpstr>
      <vt:lpstr>'Beispiel 3'!rF1.RatioLengthThick02</vt:lpstr>
      <vt:lpstr>Berechnung!rF1.RatioLengthThick02</vt:lpstr>
      <vt:lpstr>'Beispiel 1'!rF1.ReducedMasonryStregthTop02</vt:lpstr>
      <vt:lpstr>'Beispiel 2'!rF1.ReducedMasonryStregthTop02</vt:lpstr>
      <vt:lpstr>'Beispiel 3'!rF1.ReducedMasonryStregthTop02</vt:lpstr>
      <vt:lpstr>Berechnung!rF1.ReducedMasonryStregthTop02</vt:lpstr>
      <vt:lpstr>'Beispiel 1'!rF1.ReducedMasonryStrengthBottom02</vt:lpstr>
      <vt:lpstr>'Beispiel 2'!rF1.ReducedMasonryStrengthBottom02</vt:lpstr>
      <vt:lpstr>'Beispiel 3'!rF1.ReducedMasonryStrengthBottom02</vt:lpstr>
      <vt:lpstr>Berechnung!rF1.ReducedMasonryStrengthBottom02</vt:lpstr>
      <vt:lpstr>'Beispiel 1'!rF1.ReductionEccentricityBottom</vt:lpstr>
      <vt:lpstr>'Beispiel 2'!rF1.ReductionEccentricityBottom</vt:lpstr>
      <vt:lpstr>'Beispiel 3'!rF1.ReductionEccentricityBottom</vt:lpstr>
      <vt:lpstr>Berechnung!rF1.ReductionEccentricityBottom</vt:lpstr>
      <vt:lpstr>'Beispiel 1'!rF1.ReductionEccentricityMiddle</vt:lpstr>
      <vt:lpstr>'Beispiel 2'!rF1.ReductionEccentricityMiddle</vt:lpstr>
      <vt:lpstr>'Beispiel 3'!rF1.ReductionEccentricityMiddle</vt:lpstr>
      <vt:lpstr>Berechnung!rF1.ReductionEccentricityMiddle</vt:lpstr>
      <vt:lpstr>'Beispiel 1'!rF1.ReductionEccentricityTop</vt:lpstr>
      <vt:lpstr>'Beispiel 2'!rF1.ReductionEccentricityTop</vt:lpstr>
      <vt:lpstr>'Beispiel 3'!rF1.ReductionEccentricityTop</vt:lpstr>
      <vt:lpstr>Berechnung!rF1.ReductionEccentricityTop</vt:lpstr>
      <vt:lpstr>'Beispiel 1'!rF1.ReductionEccMiddle01</vt:lpstr>
      <vt:lpstr>'Beispiel 2'!rF1.ReductionEccMiddle01</vt:lpstr>
      <vt:lpstr>'Beispiel 3'!rF1.ReductionEccMiddle01</vt:lpstr>
      <vt:lpstr>Berechnung!rF1.ReductionEccMiddle01</vt:lpstr>
      <vt:lpstr>'Beispiel 1'!rF1.ReductionEccMiddle02</vt:lpstr>
      <vt:lpstr>'Beispiel 2'!rF1.ReductionEccMiddle02</vt:lpstr>
      <vt:lpstr>'Beispiel 3'!rF1.ReductionEccMiddle02</vt:lpstr>
      <vt:lpstr>Berechnung!rF1.ReductionEccMiddle02</vt:lpstr>
      <vt:lpstr>'Beispiel 1'!rF1.ReductionMasonryStrenghtArea02</vt:lpstr>
      <vt:lpstr>'Beispiel 2'!rF1.ReductionMasonryStrenghtArea02</vt:lpstr>
      <vt:lpstr>'Beispiel 3'!rF1.ReductionMasonryStrenghtArea02</vt:lpstr>
      <vt:lpstr>Berechnung!rF1.ReductionMasonryStrenghtArea02</vt:lpstr>
      <vt:lpstr>'Beispiel 1'!rF1.ReductionMasonryStrengthLongTerm</vt:lpstr>
      <vt:lpstr>'Beispiel 2'!rF1.ReductionMasonryStrengthLongTerm</vt:lpstr>
      <vt:lpstr>'Beispiel 3'!rF1.ReductionMasonryStrengthLongTerm</vt:lpstr>
      <vt:lpstr>Berechnung!rF1.ReductionMasonryStrengthLongTerm</vt:lpstr>
      <vt:lpstr>'Beispiel 1'!rF1.ReductionWallHeight02</vt:lpstr>
      <vt:lpstr>'Beispiel 2'!rF1.ReductionWallHeight02</vt:lpstr>
      <vt:lpstr>'Beispiel 3'!rF1.ReductionWallHeight02</vt:lpstr>
      <vt:lpstr>Berechnung!rF1.ReductionWallHeight02</vt:lpstr>
      <vt:lpstr>'Beispiel 1'!rF1.ReductionWallHeight03</vt:lpstr>
      <vt:lpstr>'Beispiel 2'!rF1.ReductionWallHeight03</vt:lpstr>
      <vt:lpstr>'Beispiel 3'!rF1.ReductionWallHeight03</vt:lpstr>
      <vt:lpstr>Berechnung!rF1.ReductionWallHeight03</vt:lpstr>
      <vt:lpstr>'Beispiel 1'!rF1.ReductionWallHeight04</vt:lpstr>
      <vt:lpstr>'Beispiel 2'!rF1.ReductionWallHeight04</vt:lpstr>
      <vt:lpstr>'Beispiel 3'!rF1.ReductionWallHeight04</vt:lpstr>
      <vt:lpstr>Berechnung!rF1.ReductionWallHeight04</vt:lpstr>
      <vt:lpstr>'Beispiel 1'!rF1.SafetyFactorDeadLoad</vt:lpstr>
      <vt:lpstr>'Beispiel 2'!rF1.SafetyFactorDeadLoad</vt:lpstr>
      <vt:lpstr>'Beispiel 3'!rF1.SafetyFactorDeadLoad</vt:lpstr>
      <vt:lpstr>Berechnung!rF1.SafetyFactorDeadLoad</vt:lpstr>
      <vt:lpstr>'Beispiel 1'!rF1.SafetyFactorDeadLoadSelection</vt:lpstr>
      <vt:lpstr>'Beispiel 2'!rF1.SafetyFactorDeadLoadSelection</vt:lpstr>
      <vt:lpstr>'Beispiel 3'!rF1.SafetyFactorDeadLoadSelection</vt:lpstr>
      <vt:lpstr>Berechnung!rF1.SafetyFactorDeadLoadSelection</vt:lpstr>
      <vt:lpstr>'Beispiel 1'!rF1.SafetyFactorMaterial02</vt:lpstr>
      <vt:lpstr>'Beispiel 2'!rF1.SafetyFactorMaterial02</vt:lpstr>
      <vt:lpstr>'Beispiel 3'!rF1.SafetyFactorMaterial02</vt:lpstr>
      <vt:lpstr>Berechnung!rF1.SafetyFactorMaterial02</vt:lpstr>
      <vt:lpstr>'Beispiel 1'!rF1.SlabBearingForce02</vt:lpstr>
      <vt:lpstr>'Beispiel 2'!rF1.SlabBearingForce02</vt:lpstr>
      <vt:lpstr>'Beispiel 3'!rF1.SlabBearingForce02</vt:lpstr>
      <vt:lpstr>Berechnung!rF1.SlabBearingForce02</vt:lpstr>
      <vt:lpstr>'Beispiel 1'!rF1.SlabBearingForce04</vt:lpstr>
      <vt:lpstr>'Beispiel 2'!rF1.SlabBearingForce04</vt:lpstr>
      <vt:lpstr>'Beispiel 3'!rF1.SlabBearingForce04</vt:lpstr>
      <vt:lpstr>Berechnung!rF1.SlabBearingForce04</vt:lpstr>
      <vt:lpstr>'Beispiel 1'!rF1.SlabBearingSelection</vt:lpstr>
      <vt:lpstr>'Beispiel 2'!rF1.SlabBearingSelection</vt:lpstr>
      <vt:lpstr>'Beispiel 3'!rF1.SlabBearingSelection</vt:lpstr>
      <vt:lpstr>Berechnung!rF1.SlabBearingSelection</vt:lpstr>
      <vt:lpstr>'Beispiel 1'!rF1.SlabBearingSelection01</vt:lpstr>
      <vt:lpstr>'Beispiel 2'!rF1.SlabBearingSelection01</vt:lpstr>
      <vt:lpstr>'Beispiel 3'!rF1.SlabBearingSelection01</vt:lpstr>
      <vt:lpstr>Berechnung!rF1.SlabBearingSelection01</vt:lpstr>
      <vt:lpstr>'Beispiel 1'!rF1.SlabBearingSelection02</vt:lpstr>
      <vt:lpstr>'Beispiel 2'!rF1.SlabBearingSelection02</vt:lpstr>
      <vt:lpstr>'Beispiel 3'!rF1.SlabBearingSelection02</vt:lpstr>
      <vt:lpstr>Berechnung!rF1.SlabBearingSelection02</vt:lpstr>
      <vt:lpstr>'Beispiel 1'!rF1.SlabBearingSelection03</vt:lpstr>
      <vt:lpstr>'Beispiel 2'!rF1.SlabBearingSelection03</vt:lpstr>
      <vt:lpstr>'Beispiel 3'!rF1.SlabBearingSelection03</vt:lpstr>
      <vt:lpstr>Berechnung!rF1.SlabBearingSelection03</vt:lpstr>
      <vt:lpstr>'Beispiel 1'!rF1.SlabBearingSelection04</vt:lpstr>
      <vt:lpstr>'Beispiel 2'!rF1.SlabBearingSelection04</vt:lpstr>
      <vt:lpstr>'Beispiel 3'!rF1.SlabBearingSelection04</vt:lpstr>
      <vt:lpstr>Berechnung!rF1.SlabBearingSelection04</vt:lpstr>
      <vt:lpstr>'Beispiel 1'!rF1.SlabBearingType</vt:lpstr>
      <vt:lpstr>'Beispiel 2'!rF1.SlabBearingType</vt:lpstr>
      <vt:lpstr>'Beispiel 3'!rF1.SlabBearingType</vt:lpstr>
      <vt:lpstr>Berechnung!rF1.SlabBearingType</vt:lpstr>
      <vt:lpstr>'Beispiel 1'!rF1.SlabInfluenceWidth</vt:lpstr>
      <vt:lpstr>'Beispiel 2'!rF1.SlabInfluenceWidth</vt:lpstr>
      <vt:lpstr>'Beispiel 3'!rF1.SlabInfluenceWidth</vt:lpstr>
      <vt:lpstr>Berechnung!rF1.SlabInfluenceWidth</vt:lpstr>
      <vt:lpstr>'Beispiel 1'!rF1.SlabSpanDecisive</vt:lpstr>
      <vt:lpstr>'Beispiel 2'!rF1.SlabSpanDecisive</vt:lpstr>
      <vt:lpstr>'Beispiel 3'!rF1.SlabSpanDecisive</vt:lpstr>
      <vt:lpstr>Berechnung!rF1.SlabSpanDecisive</vt:lpstr>
      <vt:lpstr>'Beispiel 1'!rF1.SlabSpanParallel</vt:lpstr>
      <vt:lpstr>'Beispiel 2'!rF1.SlabSpanParallel</vt:lpstr>
      <vt:lpstr>'Beispiel 3'!rF1.SlabSpanParallel</vt:lpstr>
      <vt:lpstr>Berechnung!rF1.SlabSpanParallel</vt:lpstr>
      <vt:lpstr>'Beispiel 1'!rF1.SlabSpanPerpendicular</vt:lpstr>
      <vt:lpstr>'Beispiel 2'!rF1.SlabSpanPerpendicular</vt:lpstr>
      <vt:lpstr>'Beispiel 3'!rF1.SlabSpanPerpendicular</vt:lpstr>
      <vt:lpstr>Berechnung!rF1.SlabSpanPerpendicular</vt:lpstr>
      <vt:lpstr>'Beispiel 1'!rF1.SlabStiffness01</vt:lpstr>
      <vt:lpstr>'Beispiel 2'!rF1.SlabStiffness01</vt:lpstr>
      <vt:lpstr>'Beispiel 3'!rF1.SlabStiffness01</vt:lpstr>
      <vt:lpstr>Berechnung!rF1.SlabStiffness01</vt:lpstr>
      <vt:lpstr>'Beispiel 1'!rF1.SlabStiffness02</vt:lpstr>
      <vt:lpstr>'Beispiel 2'!rF1.SlabStiffness02</vt:lpstr>
      <vt:lpstr>'Beispiel 3'!rF1.SlabStiffness02</vt:lpstr>
      <vt:lpstr>Berechnung!rF1.SlabStiffness02</vt:lpstr>
      <vt:lpstr>'Beispiel 1'!rF1.SlabStiffness03</vt:lpstr>
      <vt:lpstr>'Beispiel 2'!rF1.SlabStiffness03</vt:lpstr>
      <vt:lpstr>'Beispiel 3'!rF1.SlabStiffness03</vt:lpstr>
      <vt:lpstr>Berechnung!rF1.SlabStiffness03</vt:lpstr>
      <vt:lpstr>'Beispiel 1'!rF1.SlabStiffness04</vt:lpstr>
      <vt:lpstr>'Beispiel 2'!rF1.SlabStiffness04</vt:lpstr>
      <vt:lpstr>'Beispiel 3'!rF1.SlabStiffness04</vt:lpstr>
      <vt:lpstr>Berechnung!rF1.SlabStiffness04</vt:lpstr>
      <vt:lpstr>'Beispiel 1'!rF1.SlabStiffnessBearing</vt:lpstr>
      <vt:lpstr>'Beispiel 2'!rF1.SlabStiffnessBearing</vt:lpstr>
      <vt:lpstr>'Beispiel 3'!rF1.SlabStiffnessBearing</vt:lpstr>
      <vt:lpstr>Berechnung!rF1.SlabStiffnessBearing</vt:lpstr>
      <vt:lpstr>'Beispiel 1'!rF1.SlabStiffnessType</vt:lpstr>
      <vt:lpstr>'Beispiel 2'!rF1.SlabStiffnessType</vt:lpstr>
      <vt:lpstr>'Beispiel 3'!rF1.SlabStiffnessType</vt:lpstr>
      <vt:lpstr>Berechnung!rF1.SlabStiffnessType</vt:lpstr>
      <vt:lpstr>'Beispiel 1'!rF1.SlabThickness</vt:lpstr>
      <vt:lpstr>'Beispiel 2'!rF1.SlabThickness</vt:lpstr>
      <vt:lpstr>'Beispiel 3'!rF1.SlabThickness</vt:lpstr>
      <vt:lpstr>Berechnung!rF1.SlabThickness</vt:lpstr>
      <vt:lpstr>'Beispiel 1'!rF1.SlabType</vt:lpstr>
      <vt:lpstr>'Beispiel 2'!rF1.SlabType</vt:lpstr>
      <vt:lpstr>'Beispiel 3'!rF1.SlabType</vt:lpstr>
      <vt:lpstr>Berechnung!rF1.SlabType</vt:lpstr>
      <vt:lpstr>'Beispiel 1'!rF1.SlabTypeSelection</vt:lpstr>
      <vt:lpstr>'Beispiel 2'!rF1.SlabTypeSelection</vt:lpstr>
      <vt:lpstr>'Beispiel 3'!rF1.SlabTypeSelection</vt:lpstr>
      <vt:lpstr>Berechnung!rF1.SlabTypeSelection</vt:lpstr>
      <vt:lpstr>'Beispiel 1'!rF1.SlabTypeSelection01</vt:lpstr>
      <vt:lpstr>'Beispiel 2'!rF1.SlabTypeSelection01</vt:lpstr>
      <vt:lpstr>'Beispiel 3'!rF1.SlabTypeSelection01</vt:lpstr>
      <vt:lpstr>Berechnung!rF1.SlabTypeSelection01</vt:lpstr>
      <vt:lpstr>'Beispiel 1'!rF1.SlabTypeSelection02</vt:lpstr>
      <vt:lpstr>'Beispiel 2'!rF1.SlabTypeSelection02</vt:lpstr>
      <vt:lpstr>'Beispiel 3'!rF1.SlabTypeSelection02</vt:lpstr>
      <vt:lpstr>Berechnung!rF1.SlabTypeSelection02</vt:lpstr>
      <vt:lpstr>'Beispiel 1'!rF1.SlabTypeSelection03</vt:lpstr>
      <vt:lpstr>'Beispiel 2'!rF1.SlabTypeSelection03</vt:lpstr>
      <vt:lpstr>'Beispiel 3'!rF1.SlabTypeSelection03</vt:lpstr>
      <vt:lpstr>Berechnung!rF1.SlabTypeSelection03</vt:lpstr>
      <vt:lpstr>'Beispiel 1'!rF1.SlabTypeSelection04</vt:lpstr>
      <vt:lpstr>'Beispiel 2'!rF1.SlabTypeSelection04</vt:lpstr>
      <vt:lpstr>'Beispiel 3'!rF1.SlabTypeSelection04</vt:lpstr>
      <vt:lpstr>Berechnung!rF1.SlabTypeSelection04</vt:lpstr>
      <vt:lpstr>'Beispiel 1'!rF1.TotalLoadDesign</vt:lpstr>
      <vt:lpstr>'Beispiel 2'!rF1.TotalLoadDesign</vt:lpstr>
      <vt:lpstr>'Beispiel 3'!rF1.TotalLoadDesign</vt:lpstr>
      <vt:lpstr>Berechnung!rF1.TotalLoadDesign</vt:lpstr>
      <vt:lpstr>'Beispiel 1'!rF1.WallArea</vt:lpstr>
      <vt:lpstr>'Beispiel 2'!rF1.WallArea</vt:lpstr>
      <vt:lpstr>'Beispiel 3'!rF1.WallArea</vt:lpstr>
      <vt:lpstr>Berechnung!rF1.WallArea</vt:lpstr>
      <vt:lpstr>'Beispiel 1'!rF1.WallAxForceBottom</vt:lpstr>
      <vt:lpstr>'Beispiel 2'!rF1.WallAxForceBottom</vt:lpstr>
      <vt:lpstr>'Beispiel 3'!rF1.WallAxForceBottom</vt:lpstr>
      <vt:lpstr>Berechnung!rF1.WallAxForceBottom</vt:lpstr>
      <vt:lpstr>'Beispiel 1'!rF1.WallAxForceDeadBottomInput</vt:lpstr>
      <vt:lpstr>'Beispiel 2'!rF1.WallAxForceDeadBottomInput</vt:lpstr>
      <vt:lpstr>'Beispiel 3'!rF1.WallAxForceDeadBottomInput</vt:lpstr>
      <vt:lpstr>Berechnung!rF1.WallAxForceDeadBottomInput</vt:lpstr>
      <vt:lpstr>'Beispiel 1'!rF1.WallAxForceDeadCalcBottom</vt:lpstr>
      <vt:lpstr>'Beispiel 2'!rF1.WallAxForceDeadCalcBottom</vt:lpstr>
      <vt:lpstr>'Beispiel 3'!rF1.WallAxForceDeadCalcBottom</vt:lpstr>
      <vt:lpstr>Berechnung!rF1.WallAxForceDeadCalcBottom</vt:lpstr>
      <vt:lpstr>'Beispiel 1'!rF1.WallAxForceDeadCalcMiddle</vt:lpstr>
      <vt:lpstr>'Beispiel 2'!rF1.WallAxForceDeadCalcMiddle</vt:lpstr>
      <vt:lpstr>'Beispiel 3'!rF1.WallAxForceDeadCalcMiddle</vt:lpstr>
      <vt:lpstr>Berechnung!rF1.WallAxForceDeadCalcMiddle</vt:lpstr>
      <vt:lpstr>'Beispiel 1'!rF1.WallAxForceDeadMiddleInput</vt:lpstr>
      <vt:lpstr>'Beispiel 2'!rF1.WallAxForceDeadMiddleInput</vt:lpstr>
      <vt:lpstr>'Beispiel 3'!rF1.WallAxForceDeadMiddleInput</vt:lpstr>
      <vt:lpstr>Berechnung!rF1.WallAxForceDeadMiddleInput</vt:lpstr>
      <vt:lpstr>'Beispiel 1'!rF1.WallAxForceDeadTop</vt:lpstr>
      <vt:lpstr>'Beispiel 2'!rF1.WallAxForceDeadTop</vt:lpstr>
      <vt:lpstr>'Beispiel 3'!rF1.WallAxForceDeadTop</vt:lpstr>
      <vt:lpstr>Berechnung!rF1.WallAxForceDeadTop</vt:lpstr>
      <vt:lpstr>'Beispiel 1'!rF1.WallAxForceLiveBottomInput</vt:lpstr>
      <vt:lpstr>'Beispiel 2'!rF1.WallAxForceLiveBottomInput</vt:lpstr>
      <vt:lpstr>'Beispiel 3'!rF1.WallAxForceLiveBottomInput</vt:lpstr>
      <vt:lpstr>Berechnung!rF1.WallAxForceLiveBottomInput</vt:lpstr>
      <vt:lpstr>'Beispiel 1'!rF1.WallAxForceLiveMiddleInput</vt:lpstr>
      <vt:lpstr>'Beispiel 2'!rF1.WallAxForceLiveMiddleInput</vt:lpstr>
      <vt:lpstr>'Beispiel 3'!rF1.WallAxForceLiveMiddleInput</vt:lpstr>
      <vt:lpstr>Berechnung!rF1.WallAxForceLiveMiddleInput</vt:lpstr>
      <vt:lpstr>'Beispiel 1'!rF1.WallAxForceLiveTop</vt:lpstr>
      <vt:lpstr>'Beispiel 2'!rF1.WallAxForceLiveTop</vt:lpstr>
      <vt:lpstr>'Beispiel 3'!rF1.WallAxForceLiveTop</vt:lpstr>
      <vt:lpstr>Berechnung!rF1.WallAxForceLiveTop</vt:lpstr>
      <vt:lpstr>'Beispiel 1'!rF1.WallAxForceMiddle</vt:lpstr>
      <vt:lpstr>'Beispiel 2'!rF1.WallAxForceMiddle</vt:lpstr>
      <vt:lpstr>'Beispiel 3'!rF1.WallAxForceMiddle</vt:lpstr>
      <vt:lpstr>Berechnung!rF1.WallAxForceMiddle</vt:lpstr>
      <vt:lpstr>'Beispiel 1'!rF1.WallAxForceTop</vt:lpstr>
      <vt:lpstr>'Beispiel 2'!rF1.WallAxForceTop</vt:lpstr>
      <vt:lpstr>'Beispiel 3'!rF1.WallAxForceTop</vt:lpstr>
      <vt:lpstr>Berechnung!rF1.WallAxForceTop</vt:lpstr>
      <vt:lpstr>'Beispiel 1'!rF1.WallBearingBottom</vt:lpstr>
      <vt:lpstr>'Beispiel 2'!rF1.WallBearingBottom</vt:lpstr>
      <vt:lpstr>'Beispiel 3'!rF1.WallBearingBottom</vt:lpstr>
      <vt:lpstr>Berechnung!rF1.WallBearingBottom</vt:lpstr>
      <vt:lpstr>'Beispiel 1'!rF1.WallBearingBottomSelection</vt:lpstr>
      <vt:lpstr>'Beispiel 2'!rF1.WallBearingBottomSelection</vt:lpstr>
      <vt:lpstr>'Beispiel 3'!rF1.WallBearingBottomSelection</vt:lpstr>
      <vt:lpstr>Berechnung!rF1.WallBearingBottomSelection</vt:lpstr>
      <vt:lpstr>'Beispiel 1'!rF1.WallBearingBottomSelection01</vt:lpstr>
      <vt:lpstr>'Beispiel 2'!rF1.WallBearingBottomSelection01</vt:lpstr>
      <vt:lpstr>'Beispiel 3'!rF1.WallBearingBottomSelection01</vt:lpstr>
      <vt:lpstr>Berechnung!rF1.WallBearingBottomSelection01</vt:lpstr>
      <vt:lpstr>'Beispiel 1'!rF1.WallBearingBottomSelection02</vt:lpstr>
      <vt:lpstr>'Beispiel 2'!rF1.WallBearingBottomSelection02</vt:lpstr>
      <vt:lpstr>'Beispiel 3'!rF1.WallBearingBottomSelection02</vt:lpstr>
      <vt:lpstr>Berechnung!rF1.WallBearingBottomSelection02</vt:lpstr>
      <vt:lpstr>'Beispiel 1'!rF1.WallBearingBottomSelection03</vt:lpstr>
      <vt:lpstr>'Beispiel 2'!rF1.WallBearingBottomSelection03</vt:lpstr>
      <vt:lpstr>'Beispiel 3'!rF1.WallBearingBottomSelection03</vt:lpstr>
      <vt:lpstr>Berechnung!rF1.WallBearingBottomSelection03</vt:lpstr>
      <vt:lpstr>'Beispiel 1'!rF1.WallBearingTop</vt:lpstr>
      <vt:lpstr>'Beispiel 2'!rF1.WallBearingTop</vt:lpstr>
      <vt:lpstr>'Beispiel 3'!rF1.WallBearingTop</vt:lpstr>
      <vt:lpstr>Berechnung!rF1.WallBearingTop</vt:lpstr>
      <vt:lpstr>'Beispiel 1'!rF1.WallBearingTopSelection</vt:lpstr>
      <vt:lpstr>'Beispiel 2'!rF1.WallBearingTopSelection</vt:lpstr>
      <vt:lpstr>'Beispiel 3'!rF1.WallBearingTopSelection</vt:lpstr>
      <vt:lpstr>Berechnung!rF1.WallBearingTopSelection</vt:lpstr>
      <vt:lpstr>'Beispiel 1'!rF1.WallBearingTopSelection01</vt:lpstr>
      <vt:lpstr>'Beispiel 2'!rF1.WallBearingTopSelection01</vt:lpstr>
      <vt:lpstr>'Beispiel 3'!rF1.WallBearingTopSelection01</vt:lpstr>
      <vt:lpstr>Berechnung!rF1.WallBearingTopSelection01</vt:lpstr>
      <vt:lpstr>'Beispiel 1'!rF1.WallBearingTopSelection02</vt:lpstr>
      <vt:lpstr>'Beispiel 2'!rF1.WallBearingTopSelection02</vt:lpstr>
      <vt:lpstr>'Beispiel 3'!rF1.WallBearingTopSelection02</vt:lpstr>
      <vt:lpstr>Berechnung!rF1.WallBearingTopSelection02</vt:lpstr>
      <vt:lpstr>'Beispiel 1'!rF1.WallBearingTopSelection03</vt:lpstr>
      <vt:lpstr>'Beispiel 2'!rF1.WallBearingTopSelection03</vt:lpstr>
      <vt:lpstr>'Beispiel 3'!rF1.WallBearingTopSelection03</vt:lpstr>
      <vt:lpstr>Berechnung!rF1.WallBearingTopSelection03</vt:lpstr>
      <vt:lpstr>'Beispiel 1'!rF1.WallHeight</vt:lpstr>
      <vt:lpstr>'Beispiel 2'!rF1.WallHeight</vt:lpstr>
      <vt:lpstr>'Beispiel 3'!rF1.WallHeight</vt:lpstr>
      <vt:lpstr>Berechnung!rF1.WallHeight</vt:lpstr>
      <vt:lpstr>'Beispiel 1'!rF1.WallHeight02</vt:lpstr>
      <vt:lpstr>'Beispiel 2'!rF1.WallHeight02</vt:lpstr>
      <vt:lpstr>'Beispiel 3'!rF1.WallHeight02</vt:lpstr>
      <vt:lpstr>Berechnung!rF1.WallHeight02</vt:lpstr>
      <vt:lpstr>'Beispiel 1'!rF1.WallHeightBuckling</vt:lpstr>
      <vt:lpstr>'Beispiel 2'!rF1.WallHeightBuckling</vt:lpstr>
      <vt:lpstr>'Beispiel 3'!rF1.WallHeightBuckling</vt:lpstr>
      <vt:lpstr>Berechnung!rF1.WallHeightBuckling</vt:lpstr>
      <vt:lpstr>'Beispiel 1'!rF1.WallHeightEffective</vt:lpstr>
      <vt:lpstr>'Beispiel 2'!rF1.WallHeightEffective</vt:lpstr>
      <vt:lpstr>'Beispiel 3'!rF1.WallHeightEffective</vt:lpstr>
      <vt:lpstr>Berechnung!rF1.WallHeightEffective</vt:lpstr>
      <vt:lpstr>'Beispiel 1'!rF1.WallLenght</vt:lpstr>
      <vt:lpstr>'Beispiel 2'!rF1.WallLenght</vt:lpstr>
      <vt:lpstr>'Beispiel 3'!rF1.WallLenght</vt:lpstr>
      <vt:lpstr>Berechnung!rF1.WallLenght</vt:lpstr>
      <vt:lpstr>'Beispiel 1'!rF1.WallLenght02</vt:lpstr>
      <vt:lpstr>'Beispiel 2'!rF1.WallLenght02</vt:lpstr>
      <vt:lpstr>'Beispiel 3'!rF1.WallLenght02</vt:lpstr>
      <vt:lpstr>Berechnung!rF1.WallLenght02</vt:lpstr>
      <vt:lpstr>'Beispiel 1'!rF1.WallSlenderness</vt:lpstr>
      <vt:lpstr>'Beispiel 2'!rF1.WallSlenderness</vt:lpstr>
      <vt:lpstr>'Beispiel 3'!rF1.WallSlenderness</vt:lpstr>
      <vt:lpstr>Berechnung!rF1.WallSlenderness</vt:lpstr>
      <vt:lpstr>'Beispiel 1'!rF1.WallSlenderness02</vt:lpstr>
      <vt:lpstr>'Beispiel 2'!rF1.WallSlenderness02</vt:lpstr>
      <vt:lpstr>'Beispiel 3'!rF1.WallSlenderness02</vt:lpstr>
      <vt:lpstr>Berechnung!rF1.WallSlenderness02</vt:lpstr>
      <vt:lpstr>'Beispiel 1'!rF1.WallStiffnessBottom02</vt:lpstr>
      <vt:lpstr>'Beispiel 2'!rF1.WallStiffnessBottom02</vt:lpstr>
      <vt:lpstr>'Beispiel 3'!rF1.WallStiffnessBottom02</vt:lpstr>
      <vt:lpstr>Berechnung!rF1.WallStiffnessBottom02</vt:lpstr>
      <vt:lpstr>'Beispiel 1'!rF1.WallStiffnessBottom03</vt:lpstr>
      <vt:lpstr>'Beispiel 2'!rF1.WallStiffnessBottom03</vt:lpstr>
      <vt:lpstr>'Beispiel 3'!rF1.WallStiffnessBottom03</vt:lpstr>
      <vt:lpstr>Berechnung!rF1.WallStiffnessBottom03</vt:lpstr>
      <vt:lpstr>'Beispiel 1'!rF1.WallStiffnessTop01</vt:lpstr>
      <vt:lpstr>'Beispiel 2'!rF1.WallStiffnessTop01</vt:lpstr>
      <vt:lpstr>'Beispiel 3'!rF1.WallStiffnessTop01</vt:lpstr>
      <vt:lpstr>Berechnung!rF1.WallStiffnessTop01</vt:lpstr>
      <vt:lpstr>'Beispiel 1'!rF1.WallStiffnessTop02</vt:lpstr>
      <vt:lpstr>'Beispiel 2'!rF1.WallStiffnessTop02</vt:lpstr>
      <vt:lpstr>'Beispiel 3'!rF1.WallStiffnessTop02</vt:lpstr>
      <vt:lpstr>Berechnung!rF1.WallStiffnessTop02</vt:lpstr>
      <vt:lpstr>'Beispiel 1'!rF1.WallThickness</vt:lpstr>
      <vt:lpstr>'Beispiel 2'!rF1.WallThickness</vt:lpstr>
      <vt:lpstr>'Beispiel 3'!rF1.WallThickness</vt:lpstr>
      <vt:lpstr>Berechnung!rF1.WallThickness</vt:lpstr>
      <vt:lpstr>'Beispiel 1'!rF1.WallThickness02</vt:lpstr>
      <vt:lpstr>'Beispiel 2'!rF1.WallThickness02</vt:lpstr>
      <vt:lpstr>'Beispiel 3'!rF1.WallThickness02</vt:lpstr>
      <vt:lpstr>Berechnung!rF1.WallThickness02</vt:lpstr>
      <vt:lpstr>'Beispiel 1'!rF1.WallWeight</vt:lpstr>
      <vt:lpstr>'Beispiel 2'!rF1.WallWeight</vt:lpstr>
      <vt:lpstr>'Beispiel 3'!rF1.WallWeight</vt:lpstr>
      <vt:lpstr>Berechnung!rF1.WallWeight</vt:lpstr>
      <vt:lpstr>'Beispiel 1'!rF1.WallWeight02</vt:lpstr>
      <vt:lpstr>'Beispiel 2'!rF1.WallWeight02</vt:lpstr>
      <vt:lpstr>'Beispiel 3'!rF1.WallWeight02</vt:lpstr>
      <vt:lpstr>Berechnung!rF1.WallWeight02</vt:lpstr>
      <vt:lpstr>'Beispiel 1'!rF1.WindLoadDesign</vt:lpstr>
      <vt:lpstr>'Beispiel 2'!rF1.WindLoadDesign</vt:lpstr>
      <vt:lpstr>'Beispiel 3'!rF1.WindLoadDesign</vt:lpstr>
      <vt:lpstr>Berechnung!rF1.WindLoadDesign</vt:lpstr>
      <vt:lpstr>'Beispiel 1'!rF1.WindMomentFactor</vt:lpstr>
      <vt:lpstr>'Beispiel 2'!rF1.WindMomentFactor</vt:lpstr>
      <vt:lpstr>'Beispiel 3'!rF1.WindMomentFactor</vt:lpstr>
      <vt:lpstr>Berechnung!rF1.WindMomentFactor</vt:lpstr>
      <vt:lpstr>rL1.FixedVerges</vt:lpstr>
      <vt:lpstr>rL1.FixedVergesHead</vt:lpstr>
      <vt:lpstr>rL1.FixedVergesNumber</vt:lpstr>
      <vt:lpstr>rL1.Slab01</vt:lpstr>
      <vt:lpstr>rL1.Slab01Head</vt:lpstr>
      <vt:lpstr>rL1.Slab01Number</vt:lpstr>
      <vt:lpstr>rL1.Slab02</vt:lpstr>
      <vt:lpstr>rL1.Slab02Head</vt:lpstr>
      <vt:lpstr>rL1.Slab02Number</vt:lpstr>
      <vt:lpstr>rL1.Slab03</vt:lpstr>
      <vt:lpstr>rL1.Slab03Head</vt:lpstr>
      <vt:lpstr>rL1.Slab03Number</vt:lpstr>
      <vt:lpstr>rL1.Slab04</vt:lpstr>
      <vt:lpstr>rL1.Slab04Head</vt:lpstr>
      <vt:lpstr>rL1.Slab04Number</vt:lpstr>
      <vt:lpstr>rL1.SlabBearing</vt:lpstr>
      <vt:lpstr>rL1.SlabBearingHead</vt:lpstr>
      <vt:lpstr>rL1.SlabBearingNumber</vt:lpstr>
      <vt:lpstr>rL1.SlabWooden</vt:lpstr>
      <vt:lpstr>rL1.SlabWoodenHead</vt:lpstr>
      <vt:lpstr>rL1.SlabWoodenNumber</vt:lpstr>
      <vt:lpstr>rL1.Wall01</vt:lpstr>
      <vt:lpstr>rL1.Wall01Head</vt:lpstr>
      <vt:lpstr>rL1.Wall01Number</vt:lpstr>
      <vt:lpstr>rL1.Wall02</vt:lpstr>
      <vt:lpstr>rL1.Wall02Head</vt:lpstr>
      <vt:lpstr>rL1.Wall02Number</vt:lpstr>
      <vt:lpstr>rL1.Wall03</vt:lpstr>
      <vt:lpstr>rL1.Wall03Head</vt:lpstr>
      <vt:lpstr>rL1.Wall03Number</vt:lpstr>
      <vt:lpstr>rL2.MainGroups01</vt:lpstr>
      <vt:lpstr>rL2.MainGroups02</vt:lpstr>
      <vt:lpstr>rL2.MainGroups03</vt:lpstr>
      <vt:lpstr>rL2.MainGroupsHead01</vt:lpstr>
      <vt:lpstr>rL2.MainGroupsHead02</vt:lpstr>
      <vt:lpstr>rL2.MainGroupsHead03</vt:lpstr>
      <vt:lpstr>rL2.MainGroupsNumber01</vt:lpstr>
      <vt:lpstr>rL2.MainGroupsNumber02</vt:lpstr>
      <vt:lpstr>rL2.MainGroupsNumber03</vt:lpstr>
      <vt:lpstr>rL3.AufteilungMomenteWind</vt:lpstr>
      <vt:lpstr>rL3.AufteilungMomenteWindAnzahl</vt:lpstr>
      <vt:lpstr>rL3.Knoten</vt:lpstr>
      <vt:lpstr>rL4.ConcWallThickness</vt:lpstr>
      <vt:lpstr>rL4.ConcWallThicknessHead</vt:lpstr>
      <vt:lpstr>rL4.ConcWallThicknessNumber</vt:lpstr>
      <vt:lpstr>rL5.EccentricityFactor</vt:lpstr>
      <vt:lpstr>rL5.Knoten01</vt:lpstr>
      <vt:lpstr>rL5.Knoten02</vt:lpstr>
      <vt:lpstr>rL5.MaxEccentricityFactor</vt:lpstr>
      <vt:lpstr>rL5.MaxRho2</vt:lpstr>
      <vt:lpstr>rL5.Measurements</vt:lpstr>
      <vt:lpstr>rL5.MinEccentricityFactor</vt:lpstr>
      <vt:lpstr>rL5.MinRho2</vt:lpstr>
      <vt:lpstr>rL5.OverlappingHead</vt:lpstr>
      <vt:lpstr>rL5.OverlappingList</vt:lpstr>
      <vt:lpstr>rL5.OverlappingListFactor</vt:lpstr>
      <vt:lpstr>rL5.Rho_2</vt:lpstr>
      <vt:lpstr>rL6.FireResClassList</vt:lpstr>
      <vt:lpstr>rP1.BucklingBearingDepth</vt:lpstr>
      <vt:lpstr>rP1.BucklingThickness</vt:lpstr>
      <vt:lpstr>rP1.CheckwordBaseplate</vt:lpstr>
      <vt:lpstr>rP1.CheckWordCantilever</vt:lpstr>
      <vt:lpstr>rP1.CheckwordFixed</vt:lpstr>
      <vt:lpstr>rP1.CheckwordHinged</vt:lpstr>
      <vt:lpstr>rP1.CheckwordNotExisting</vt:lpstr>
      <vt:lpstr>rP1.CheckwordPlaneBrick</vt:lpstr>
      <vt:lpstr>rP1.CheckwordWoodenSlab</vt:lpstr>
      <vt:lpstr>rP1.ConcreteWeight</vt:lpstr>
      <vt:lpstr>rP1.CreepCoefficient</vt:lpstr>
      <vt:lpstr>rP1.Gravitation</vt:lpstr>
      <vt:lpstr>rP1.LimitSlendernessKappa</vt:lpstr>
      <vt:lpstr>rP1.MasonryStiffnessFactor</vt:lpstr>
      <vt:lpstr>rP1.MaximumLengthOneFixed</vt:lpstr>
      <vt:lpstr>rP1.MaximumLengthTwoFixed</vt:lpstr>
      <vt:lpstr>rP1.MaxLengthFireOutput</vt:lpstr>
      <vt:lpstr>rP1.MaxPerfFactorReduction</vt:lpstr>
      <vt:lpstr>rP1.MaxSlendernessCreepEcc</vt:lpstr>
      <vt:lpstr>rP1.MaxSlendernessWall</vt:lpstr>
      <vt:lpstr>rP1.MaxWallAreaReduction</vt:lpstr>
      <vt:lpstr>rP1.MinBearingDepthFire</vt:lpstr>
      <vt:lpstr>rP1.MinRho3</vt:lpstr>
      <vt:lpstr>rP1.ReductionMasonryStrengthArea</vt:lpstr>
      <vt:lpstr>rP1.SafetyDeadLoad</vt:lpstr>
      <vt:lpstr>rP1.StiffnessFactorBearingCantilever</vt:lpstr>
      <vt:lpstr>rP1.StiffnessFactorHinged</vt:lpstr>
      <vt:lpstr>rP2.FireProofManual</vt:lpstr>
      <vt:lpstr>rP2.InputYesNo</vt:lpstr>
      <vt:lpstr>rP2.LongTermFactor</vt:lpstr>
      <vt:lpstr>rP2.OutputBearingDepth01</vt:lpstr>
      <vt:lpstr>rP2.OutputBearingDepth02</vt:lpstr>
      <vt:lpstr>rP2.OutputBearingWoodenSlab01</vt:lpstr>
      <vt:lpstr>rP2.OutputBearingWoodenSlab02</vt:lpstr>
      <vt:lpstr>rP2.OutputContinuousSlab</vt:lpstr>
      <vt:lpstr>rP2.OutputEccentricityAnnexC5</vt:lpstr>
      <vt:lpstr>rP2.OutputEccentricityWoodenSlab</vt:lpstr>
      <vt:lpstr>rP2.OutputFireProofManual02</vt:lpstr>
      <vt:lpstr>rP2.OutputFireResClassFail</vt:lpstr>
      <vt:lpstr>rP2.OutputFireResNN</vt:lpstr>
      <vt:lpstr>rP2.OutputIsokorbSlab03</vt:lpstr>
      <vt:lpstr>rP2.OutputIsokorbSlab04</vt:lpstr>
      <vt:lpstr>rP2.OutputMatch</vt:lpstr>
      <vt:lpstr>rP2.OutputNoInput</vt:lpstr>
      <vt:lpstr>rP2.OutputNoMortarNeeded</vt:lpstr>
      <vt:lpstr>rP2.OutputOneFixedVergeNP</vt:lpstr>
      <vt:lpstr>rP2.OutputProofFulfilled</vt:lpstr>
      <vt:lpstr>rP2.OutputProofNotFulfilled</vt:lpstr>
      <vt:lpstr>rP2.OutputSafetyFacotrWall</vt:lpstr>
      <vt:lpstr>rP2.OutputSlab01</vt:lpstr>
      <vt:lpstr>rP2.OutputSlab02</vt:lpstr>
      <vt:lpstr>rP2.OutputSlab03</vt:lpstr>
      <vt:lpstr>rP2.OutputSlab04</vt:lpstr>
      <vt:lpstr>rP2.OutputSmallEccentricity</vt:lpstr>
      <vt:lpstr>rP2.OutputSmallEccentricityMiddle</vt:lpstr>
      <vt:lpstr>rP2.OutputTwoFixedVergesNP</vt:lpstr>
      <vt:lpstr>rP2.OutputWall01</vt:lpstr>
      <vt:lpstr>rP2.OutputWall02</vt:lpstr>
      <vt:lpstr>rP2.OutputWall03</vt:lpstr>
      <vt:lpstr>rP2.OutputWallSlenderness</vt:lpstr>
      <vt:lpstr>rP2.OutputYesNo</vt:lpstr>
    </vt:vector>
  </TitlesOfParts>
  <Company>TU Wien - Campusversion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Raphael</dc:creator>
  <cp:lastModifiedBy>Jannick Watermann</cp:lastModifiedBy>
  <cp:lastPrinted>2022-01-19T14:07:44Z</cp:lastPrinted>
  <dcterms:created xsi:type="dcterms:W3CDTF">2016-01-21T12:09:13Z</dcterms:created>
  <dcterms:modified xsi:type="dcterms:W3CDTF">2024-02-19T07:36:22Z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0x010100B7F19A8ED346314BA5A16EC5BD62888B</vt:lpwstr>
  </property>
</Properties>
</file>